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Karen Data Aubergine\20241030_Esg_MycRNAi_StringRNAi34831_AubStaining\"/>
    </mc:Choice>
  </mc:AlternateContent>
  <xr:revisionPtr revIDLastSave="0" documentId="13_ncr:1_{81EADA4B-3BFE-4D9A-A480-DC1F4DF1CEA7}" xr6:coauthVersionLast="47" xr6:coauthVersionMax="47" xr10:uidLastSave="{00000000-0000-0000-0000-000000000000}"/>
  <bookViews>
    <workbookView xWindow="915" yWindow="1215" windowWidth="21960" windowHeight="13935" firstSheet="1" activeTab="2" xr2:uid="{00000000-000D-0000-FFFF-FFFF00000000}"/>
  </bookViews>
  <sheets>
    <sheet name="Control" sheetId="1" r:id="rId1"/>
    <sheet name="MycRNAi" sheetId="2" r:id="rId2"/>
    <sheet name="StringRNAi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87" i="4" l="1"/>
  <c r="E48" i="4"/>
  <c r="E90" i="2"/>
  <c r="E87" i="1"/>
  <c r="E83" i="4"/>
  <c r="E84" i="4"/>
  <c r="E85" i="4"/>
  <c r="E86" i="4"/>
  <c r="E88" i="4"/>
  <c r="E89" i="4"/>
  <c r="E90" i="4"/>
  <c r="E91" i="4"/>
  <c r="E92" i="4"/>
  <c r="E93" i="4"/>
  <c r="E94" i="4"/>
  <c r="E95" i="4"/>
  <c r="E96" i="4"/>
  <c r="E82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34" i="4"/>
  <c r="E84" i="2"/>
  <c r="E85" i="2"/>
  <c r="E86" i="2"/>
  <c r="E87" i="2"/>
  <c r="E88" i="2"/>
  <c r="E89" i="2"/>
  <c r="E91" i="2"/>
  <c r="E92" i="2"/>
  <c r="E93" i="2"/>
  <c r="E94" i="2"/>
  <c r="E95" i="2"/>
  <c r="E96" i="2"/>
  <c r="E97" i="2"/>
  <c r="E83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34" i="2"/>
  <c r="E84" i="1"/>
  <c r="E85" i="1"/>
  <c r="E86" i="1"/>
  <c r="E88" i="1"/>
  <c r="E89" i="1"/>
  <c r="E90" i="1"/>
  <c r="E91" i="1"/>
  <c r="E92" i="1"/>
  <c r="E93" i="1"/>
  <c r="E94" i="1"/>
  <c r="E95" i="1"/>
  <c r="E96" i="1"/>
  <c r="E97" i="1"/>
  <c r="E83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34" i="1"/>
  <c r="I11" i="1"/>
  <c r="C48" i="4"/>
  <c r="C47" i="4"/>
  <c r="D47" i="4" s="1"/>
  <c r="C46" i="4"/>
  <c r="C45" i="4"/>
  <c r="D45" i="4" s="1"/>
  <c r="C44" i="4"/>
  <c r="C43" i="4"/>
  <c r="C42" i="4"/>
  <c r="D42" i="4" s="1"/>
  <c r="C41" i="4"/>
  <c r="D41" i="4" s="1"/>
  <c r="C40" i="4"/>
  <c r="C39" i="4"/>
  <c r="C38" i="4"/>
  <c r="D38" i="4" s="1"/>
  <c r="C37" i="4"/>
  <c r="D37" i="4" s="1"/>
  <c r="C36" i="4"/>
  <c r="D36" i="4" s="1"/>
  <c r="C35" i="4"/>
  <c r="D35" i="4"/>
  <c r="D39" i="4"/>
  <c r="D40" i="4"/>
  <c r="D43" i="4"/>
  <c r="D44" i="4"/>
  <c r="D46" i="4"/>
  <c r="D48" i="4"/>
  <c r="C34" i="4"/>
  <c r="D34" i="4" s="1"/>
  <c r="C96" i="4"/>
  <c r="D96" i="4" s="1"/>
  <c r="C95" i="4"/>
  <c r="D95" i="4" s="1"/>
  <c r="C94" i="4"/>
  <c r="D94" i="4" s="1"/>
  <c r="C93" i="4"/>
  <c r="D93" i="4" s="1"/>
  <c r="C92" i="4"/>
  <c r="C91" i="4"/>
  <c r="D91" i="4" s="1"/>
  <c r="C90" i="4"/>
  <c r="D90" i="4" s="1"/>
  <c r="C89" i="4"/>
  <c r="D89" i="4" s="1"/>
  <c r="C88" i="4"/>
  <c r="C87" i="4"/>
  <c r="D87" i="4" s="1"/>
  <c r="C86" i="4"/>
  <c r="D86" i="4" s="1"/>
  <c r="C85" i="4"/>
  <c r="D85" i="4" s="1"/>
  <c r="C84" i="4"/>
  <c r="D84" i="4" s="1"/>
  <c r="C83" i="4"/>
  <c r="D83" i="4" s="1"/>
  <c r="D88" i="4"/>
  <c r="D92" i="4"/>
  <c r="C82" i="4"/>
  <c r="D82" i="4" s="1"/>
  <c r="C48" i="2"/>
  <c r="C47" i="2"/>
  <c r="D47" i="2" s="1"/>
  <c r="C46" i="2"/>
  <c r="D46" i="2" s="1"/>
  <c r="C45" i="2"/>
  <c r="C44" i="2"/>
  <c r="C43" i="2"/>
  <c r="C42" i="2"/>
  <c r="C41" i="2"/>
  <c r="C40" i="2"/>
  <c r="D40" i="2" s="1"/>
  <c r="C39" i="2"/>
  <c r="D39" i="2" s="1"/>
  <c r="C38" i="2"/>
  <c r="E4" i="1"/>
  <c r="E73" i="4"/>
  <c r="E65" i="4"/>
  <c r="E28" i="4"/>
  <c r="E5" i="4"/>
  <c r="E18" i="4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68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53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19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4" i="2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68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53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C37" i="2"/>
  <c r="D37" i="2" s="1"/>
  <c r="C36" i="2"/>
  <c r="C35" i="2"/>
  <c r="C34" i="2"/>
  <c r="C97" i="2"/>
  <c r="D97" i="2" s="1"/>
  <c r="C96" i="2"/>
  <c r="C95" i="2"/>
  <c r="C94" i="2"/>
  <c r="D94" i="2" s="1"/>
  <c r="C93" i="2"/>
  <c r="C92" i="2"/>
  <c r="D92" i="2" s="1"/>
  <c r="C91" i="2"/>
  <c r="C90" i="2"/>
  <c r="C89" i="2"/>
  <c r="D89" i="2" s="1"/>
  <c r="C88" i="2"/>
  <c r="D88" i="2" s="1"/>
  <c r="C87" i="2"/>
  <c r="C86" i="2"/>
  <c r="D86" i="2" s="1"/>
  <c r="C85" i="2"/>
  <c r="D85" i="2" s="1"/>
  <c r="C84" i="2"/>
  <c r="C83" i="2"/>
  <c r="D83" i="2" s="1"/>
  <c r="D84" i="2"/>
  <c r="D87" i="2"/>
  <c r="D90" i="2"/>
  <c r="D91" i="2"/>
  <c r="D93" i="2"/>
  <c r="D95" i="2"/>
  <c r="D96" i="2"/>
  <c r="D35" i="2"/>
  <c r="D36" i="2"/>
  <c r="D38" i="2"/>
  <c r="D41" i="2"/>
  <c r="D42" i="2"/>
  <c r="D43" i="2"/>
  <c r="D44" i="2"/>
  <c r="D45" i="2"/>
  <c r="D48" i="2"/>
  <c r="D34" i="2"/>
  <c r="C48" i="1"/>
  <c r="D48" i="1" s="1"/>
  <c r="C47" i="1"/>
  <c r="D47" i="1" s="1"/>
  <c r="C46" i="1"/>
  <c r="C45" i="1"/>
  <c r="C44" i="1"/>
  <c r="D44" i="1" s="1"/>
  <c r="C43" i="1"/>
  <c r="D43" i="1" s="1"/>
  <c r="C42" i="1"/>
  <c r="C41" i="1"/>
  <c r="D41" i="1" s="1"/>
  <c r="C40" i="1"/>
  <c r="D40" i="1" s="1"/>
  <c r="C39" i="1"/>
  <c r="C38" i="1"/>
  <c r="C37" i="1"/>
  <c r="D37" i="1" s="1"/>
  <c r="C36" i="1"/>
  <c r="D36" i="1" s="1"/>
  <c r="C35" i="1"/>
  <c r="D35" i="1"/>
  <c r="D38" i="1"/>
  <c r="D39" i="1"/>
  <c r="D42" i="1"/>
  <c r="D45" i="1"/>
  <c r="D46" i="1"/>
  <c r="C34" i="1"/>
  <c r="D34" i="1" s="1"/>
  <c r="C97" i="1"/>
  <c r="D97" i="1" s="1"/>
  <c r="C96" i="1"/>
  <c r="C95" i="1"/>
  <c r="D95" i="1" s="1"/>
  <c r="C94" i="1"/>
  <c r="D94" i="1" s="1"/>
  <c r="C93" i="1"/>
  <c r="C92" i="1"/>
  <c r="C91" i="1"/>
  <c r="D91" i="1" s="1"/>
  <c r="C90" i="1"/>
  <c r="C89" i="1"/>
  <c r="C88" i="1"/>
  <c r="D88" i="1" s="1"/>
  <c r="C87" i="1"/>
  <c r="D87" i="1" s="1"/>
  <c r="C86" i="1"/>
  <c r="D86" i="1" s="1"/>
  <c r="C85" i="1"/>
  <c r="D85" i="1" s="1"/>
  <c r="C84" i="1"/>
  <c r="D84" i="1"/>
  <c r="D89" i="1"/>
  <c r="D90" i="1"/>
  <c r="D92" i="1"/>
  <c r="D93" i="1"/>
  <c r="D96" i="1"/>
  <c r="C83" i="1"/>
  <c r="D83" i="1" s="1"/>
  <c r="C31" i="1"/>
  <c r="D31" i="1" s="1"/>
  <c r="C33" i="4"/>
  <c r="D33" i="4" s="1"/>
  <c r="E33" i="4" s="1"/>
  <c r="C32" i="4"/>
  <c r="D32" i="4" s="1"/>
  <c r="E32" i="4" s="1"/>
  <c r="C31" i="4"/>
  <c r="C30" i="4"/>
  <c r="D30" i="4" s="1"/>
  <c r="E30" i="4" s="1"/>
  <c r="C29" i="4"/>
  <c r="D29" i="4" s="1"/>
  <c r="E29" i="4" s="1"/>
  <c r="C28" i="4"/>
  <c r="D28" i="4" s="1"/>
  <c r="C27" i="4"/>
  <c r="D27" i="4" s="1"/>
  <c r="E27" i="4" s="1"/>
  <c r="C26" i="4"/>
  <c r="D26" i="4" s="1"/>
  <c r="E26" i="4" s="1"/>
  <c r="C25" i="4"/>
  <c r="D25" i="4" s="1"/>
  <c r="E25" i="4" s="1"/>
  <c r="C24" i="4"/>
  <c r="D24" i="4" s="1"/>
  <c r="E24" i="4" s="1"/>
  <c r="C23" i="4"/>
  <c r="D23" i="4" s="1"/>
  <c r="E23" i="4" s="1"/>
  <c r="C22" i="4"/>
  <c r="D22" i="4" s="1"/>
  <c r="E22" i="4" s="1"/>
  <c r="C21" i="4"/>
  <c r="D21" i="4" s="1"/>
  <c r="E21" i="4" s="1"/>
  <c r="C20" i="4"/>
  <c r="D20" i="4" s="1"/>
  <c r="E20" i="4" s="1"/>
  <c r="C19" i="4"/>
  <c r="D19" i="4" s="1"/>
  <c r="E19" i="4" s="1"/>
  <c r="C81" i="4"/>
  <c r="D81" i="4" s="1"/>
  <c r="E81" i="4" s="1"/>
  <c r="C80" i="4"/>
  <c r="D80" i="4" s="1"/>
  <c r="E80" i="4" s="1"/>
  <c r="C79" i="4"/>
  <c r="C78" i="4"/>
  <c r="C77" i="4"/>
  <c r="D77" i="4" s="1"/>
  <c r="E77" i="4" s="1"/>
  <c r="C76" i="4"/>
  <c r="D76" i="4" s="1"/>
  <c r="E76" i="4" s="1"/>
  <c r="C75" i="4"/>
  <c r="D75" i="4" s="1"/>
  <c r="E75" i="4" s="1"/>
  <c r="C74" i="4"/>
  <c r="D74" i="4" s="1"/>
  <c r="E74" i="4" s="1"/>
  <c r="C73" i="4"/>
  <c r="D73" i="4" s="1"/>
  <c r="C72" i="4"/>
  <c r="D72" i="4" s="1"/>
  <c r="E72" i="4" s="1"/>
  <c r="C71" i="4"/>
  <c r="D71" i="4" s="1"/>
  <c r="E71" i="4" s="1"/>
  <c r="C70" i="4"/>
  <c r="D70" i="4" s="1"/>
  <c r="E70" i="4" s="1"/>
  <c r="C69" i="4"/>
  <c r="D69" i="4" s="1"/>
  <c r="E69" i="4" s="1"/>
  <c r="C68" i="4"/>
  <c r="D68" i="4" s="1"/>
  <c r="E68" i="4" s="1"/>
  <c r="C67" i="4"/>
  <c r="D67" i="4" s="1"/>
  <c r="E67" i="4" s="1"/>
  <c r="C33" i="2"/>
  <c r="D33" i="2" s="1"/>
  <c r="C32" i="2"/>
  <c r="D32" i="2" s="1"/>
  <c r="C31" i="2"/>
  <c r="D31" i="2" s="1"/>
  <c r="C30" i="2"/>
  <c r="D30" i="2" s="1"/>
  <c r="C29" i="2"/>
  <c r="D29" i="2" s="1"/>
  <c r="C28" i="2"/>
  <c r="D28" i="2" s="1"/>
  <c r="C27" i="2"/>
  <c r="D27" i="2" s="1"/>
  <c r="C26" i="2"/>
  <c r="D26" i="2" s="1"/>
  <c r="C25" i="2"/>
  <c r="D25" i="2" s="1"/>
  <c r="C24" i="2"/>
  <c r="D24" i="2" s="1"/>
  <c r="C23" i="2"/>
  <c r="D23" i="2" s="1"/>
  <c r="C22" i="2"/>
  <c r="D22" i="2" s="1"/>
  <c r="C21" i="2"/>
  <c r="D21" i="2" s="1"/>
  <c r="C20" i="2"/>
  <c r="D20" i="2" s="1"/>
  <c r="C19" i="2"/>
  <c r="D19" i="2" s="1"/>
  <c r="C82" i="2"/>
  <c r="D82" i="2" s="1"/>
  <c r="C81" i="2"/>
  <c r="D81" i="2" s="1"/>
  <c r="C80" i="2"/>
  <c r="D80" i="2" s="1"/>
  <c r="C79" i="2"/>
  <c r="D79" i="2" s="1"/>
  <c r="C78" i="2"/>
  <c r="D78" i="2" s="1"/>
  <c r="C77" i="2"/>
  <c r="D77" i="2" s="1"/>
  <c r="C76" i="2"/>
  <c r="D76" i="2" s="1"/>
  <c r="C75" i="2"/>
  <c r="D75" i="2" s="1"/>
  <c r="C74" i="2"/>
  <c r="D74" i="2" s="1"/>
  <c r="C73" i="2"/>
  <c r="D73" i="2" s="1"/>
  <c r="C72" i="2"/>
  <c r="D72" i="2" s="1"/>
  <c r="C71" i="2"/>
  <c r="D71" i="2" s="1"/>
  <c r="C70" i="2"/>
  <c r="D70" i="2" s="1"/>
  <c r="C69" i="2"/>
  <c r="D69" i="2" s="1"/>
  <c r="C68" i="2"/>
  <c r="D68" i="2" s="1"/>
  <c r="C33" i="1"/>
  <c r="D33" i="1" s="1"/>
  <c r="C32" i="1"/>
  <c r="D32" i="1" s="1"/>
  <c r="C30" i="1"/>
  <c r="D30" i="1" s="1"/>
  <c r="C29" i="1"/>
  <c r="D29" i="1" s="1"/>
  <c r="C28" i="1"/>
  <c r="D28" i="1" s="1"/>
  <c r="C27" i="1"/>
  <c r="D27" i="1" s="1"/>
  <c r="C26" i="1"/>
  <c r="D26" i="1" s="1"/>
  <c r="C25" i="1"/>
  <c r="D25" i="1" s="1"/>
  <c r="C24" i="1"/>
  <c r="D24" i="1" s="1"/>
  <c r="C23" i="1"/>
  <c r="D23" i="1" s="1"/>
  <c r="C22" i="1"/>
  <c r="D22" i="1" s="1"/>
  <c r="C21" i="1"/>
  <c r="D21" i="1" s="1"/>
  <c r="C20" i="1"/>
  <c r="D20" i="1" s="1"/>
  <c r="C19" i="1"/>
  <c r="D19" i="1" s="1"/>
  <c r="I9" i="1" s="1"/>
  <c r="E19" i="1" s="1"/>
  <c r="C82" i="1"/>
  <c r="D82" i="1" s="1"/>
  <c r="C81" i="1"/>
  <c r="D81" i="1" s="1"/>
  <c r="C80" i="1"/>
  <c r="D80" i="1" s="1"/>
  <c r="C79" i="1"/>
  <c r="D79" i="1" s="1"/>
  <c r="C78" i="1"/>
  <c r="D78" i="1" s="1"/>
  <c r="C77" i="1"/>
  <c r="D77" i="1" s="1"/>
  <c r="C76" i="1"/>
  <c r="D76" i="1" s="1"/>
  <c r="C75" i="1"/>
  <c r="D75" i="1" s="1"/>
  <c r="C74" i="1"/>
  <c r="D74" i="1" s="1"/>
  <c r="C73" i="1"/>
  <c r="D73" i="1" s="1"/>
  <c r="C72" i="1"/>
  <c r="D72" i="1" s="1"/>
  <c r="C71" i="1"/>
  <c r="D71" i="1" s="1"/>
  <c r="C70" i="1"/>
  <c r="D70" i="1" s="1"/>
  <c r="C69" i="1"/>
  <c r="D69" i="1" s="1"/>
  <c r="C68" i="1"/>
  <c r="D68" i="1" s="1"/>
  <c r="C18" i="4"/>
  <c r="D18" i="4" s="1"/>
  <c r="C17" i="4"/>
  <c r="D17" i="4" s="1"/>
  <c r="E17" i="4" s="1"/>
  <c r="C16" i="4"/>
  <c r="D16" i="4" s="1"/>
  <c r="E16" i="4" s="1"/>
  <c r="C15" i="4"/>
  <c r="D15" i="4" s="1"/>
  <c r="E15" i="4" s="1"/>
  <c r="C14" i="4"/>
  <c r="D14" i="4" s="1"/>
  <c r="E14" i="4" s="1"/>
  <c r="C13" i="4"/>
  <c r="D13" i="4" s="1"/>
  <c r="E13" i="4" s="1"/>
  <c r="C12" i="4"/>
  <c r="D12" i="4" s="1"/>
  <c r="E12" i="4" s="1"/>
  <c r="C11" i="4"/>
  <c r="D11" i="4" s="1"/>
  <c r="E11" i="4" s="1"/>
  <c r="C10" i="4"/>
  <c r="D10" i="4" s="1"/>
  <c r="E10" i="4" s="1"/>
  <c r="C9" i="4"/>
  <c r="D9" i="4" s="1"/>
  <c r="E9" i="4" s="1"/>
  <c r="C8" i="4"/>
  <c r="D8" i="4" s="1"/>
  <c r="E8" i="4" s="1"/>
  <c r="C7" i="4"/>
  <c r="D7" i="4" s="1"/>
  <c r="E7" i="4" s="1"/>
  <c r="C6" i="4"/>
  <c r="D6" i="4" s="1"/>
  <c r="E6" i="4" s="1"/>
  <c r="C5" i="4"/>
  <c r="D5" i="4" s="1"/>
  <c r="C4" i="4"/>
  <c r="D4" i="4" s="1"/>
  <c r="E4" i="4" s="1"/>
  <c r="C66" i="4"/>
  <c r="D66" i="4" s="1"/>
  <c r="E66" i="4" s="1"/>
  <c r="C65" i="4"/>
  <c r="D65" i="4" s="1"/>
  <c r="C64" i="4"/>
  <c r="D64" i="4" s="1"/>
  <c r="E64" i="4" s="1"/>
  <c r="C63" i="4"/>
  <c r="D63" i="4" s="1"/>
  <c r="E63" i="4" s="1"/>
  <c r="C62" i="4"/>
  <c r="D62" i="4" s="1"/>
  <c r="E62" i="4" s="1"/>
  <c r="C61" i="4"/>
  <c r="D61" i="4" s="1"/>
  <c r="E61" i="4" s="1"/>
  <c r="C60" i="4"/>
  <c r="C59" i="4"/>
  <c r="D59" i="4" s="1"/>
  <c r="E59" i="4" s="1"/>
  <c r="C58" i="4"/>
  <c r="D58" i="4" s="1"/>
  <c r="E58" i="4" s="1"/>
  <c r="C57" i="4"/>
  <c r="D57" i="4" s="1"/>
  <c r="E57" i="4" s="1"/>
  <c r="C56" i="4"/>
  <c r="D56" i="4" s="1"/>
  <c r="E56" i="4" s="1"/>
  <c r="C55" i="4"/>
  <c r="D55" i="4" s="1"/>
  <c r="E55" i="4" s="1"/>
  <c r="C54" i="4"/>
  <c r="D54" i="4" s="1"/>
  <c r="E54" i="4" s="1"/>
  <c r="C53" i="4"/>
  <c r="D53" i="4" s="1"/>
  <c r="E53" i="4" s="1"/>
  <c r="C52" i="4"/>
  <c r="D52" i="4" s="1"/>
  <c r="E52" i="4" s="1"/>
  <c r="C18" i="2"/>
  <c r="D18" i="2" s="1"/>
  <c r="C17" i="2"/>
  <c r="D17" i="2" s="1"/>
  <c r="C16" i="2"/>
  <c r="D16" i="2" s="1"/>
  <c r="C15" i="2"/>
  <c r="D15" i="2" s="1"/>
  <c r="C14" i="2"/>
  <c r="D14" i="2" s="1"/>
  <c r="C13" i="2"/>
  <c r="D13" i="2" s="1"/>
  <c r="C12" i="2"/>
  <c r="D12" i="2" s="1"/>
  <c r="C11" i="2"/>
  <c r="D11" i="2" s="1"/>
  <c r="C10" i="2"/>
  <c r="D10" i="2" s="1"/>
  <c r="C9" i="2"/>
  <c r="D9" i="2" s="1"/>
  <c r="C8" i="2"/>
  <c r="D8" i="2" s="1"/>
  <c r="C7" i="2"/>
  <c r="D7" i="2" s="1"/>
  <c r="C6" i="2"/>
  <c r="D6" i="2" s="1"/>
  <c r="C5" i="2"/>
  <c r="D5" i="2" s="1"/>
  <c r="C4" i="2"/>
  <c r="D4" i="2" s="1"/>
  <c r="C67" i="2"/>
  <c r="D67" i="2" s="1"/>
  <c r="C66" i="2"/>
  <c r="D66" i="2" s="1"/>
  <c r="C65" i="2"/>
  <c r="D65" i="2" s="1"/>
  <c r="C64" i="2"/>
  <c r="D64" i="2" s="1"/>
  <c r="C63" i="2"/>
  <c r="D63" i="2" s="1"/>
  <c r="C62" i="2"/>
  <c r="D62" i="2" s="1"/>
  <c r="C61" i="2"/>
  <c r="D61" i="2" s="1"/>
  <c r="C60" i="2"/>
  <c r="D60" i="2" s="1"/>
  <c r="C59" i="2"/>
  <c r="D59" i="2" s="1"/>
  <c r="C58" i="2"/>
  <c r="D58" i="2" s="1"/>
  <c r="C57" i="2"/>
  <c r="D57" i="2" s="1"/>
  <c r="C56" i="2"/>
  <c r="D56" i="2" s="1"/>
  <c r="C55" i="2"/>
  <c r="D55" i="2" s="1"/>
  <c r="C54" i="2"/>
  <c r="D54" i="2" s="1"/>
  <c r="C53" i="2"/>
  <c r="D53" i="2" s="1"/>
  <c r="C18" i="1"/>
  <c r="D18" i="1" s="1"/>
  <c r="C17" i="1"/>
  <c r="D17" i="1" s="1"/>
  <c r="C16" i="1"/>
  <c r="D16" i="1" s="1"/>
  <c r="C15" i="1"/>
  <c r="D15" i="1" s="1"/>
  <c r="C14" i="1"/>
  <c r="D14" i="1" s="1"/>
  <c r="C13" i="1"/>
  <c r="D13" i="1" s="1"/>
  <c r="C12" i="1"/>
  <c r="D12" i="1" s="1"/>
  <c r="C11" i="1"/>
  <c r="D11" i="1" s="1"/>
  <c r="C10" i="1"/>
  <c r="D10" i="1" s="1"/>
  <c r="C9" i="1"/>
  <c r="D9" i="1" s="1"/>
  <c r="C8" i="1"/>
  <c r="D8" i="1" s="1"/>
  <c r="C7" i="1"/>
  <c r="D7" i="1" s="1"/>
  <c r="C6" i="1"/>
  <c r="D6" i="1" s="1"/>
  <c r="C5" i="1"/>
  <c r="D5" i="1" s="1"/>
  <c r="C4" i="1"/>
  <c r="D4" i="1" s="1"/>
  <c r="C67" i="1"/>
  <c r="D67" i="1" s="1"/>
  <c r="C66" i="1"/>
  <c r="D66" i="1" s="1"/>
  <c r="C65" i="1"/>
  <c r="D65" i="1" s="1"/>
  <c r="C64" i="1"/>
  <c r="D64" i="1" s="1"/>
  <c r="C63" i="1"/>
  <c r="D63" i="1" s="1"/>
  <c r="C62" i="1"/>
  <c r="D62" i="1" s="1"/>
  <c r="C61" i="1"/>
  <c r="D61" i="1" s="1"/>
  <c r="C60" i="1"/>
  <c r="D60" i="1" s="1"/>
  <c r="C59" i="1"/>
  <c r="D59" i="1" s="1"/>
  <c r="C58" i="1"/>
  <c r="D58" i="1" s="1"/>
  <c r="C57" i="1"/>
  <c r="D57" i="1" s="1"/>
  <c r="C56" i="1"/>
  <c r="D56" i="1" s="1"/>
  <c r="C55" i="1"/>
  <c r="D55" i="1" s="1"/>
  <c r="C54" i="1"/>
  <c r="D54" i="1" s="1"/>
  <c r="C53" i="1"/>
  <c r="D53" i="1" s="1"/>
  <c r="D79" i="4"/>
  <c r="E79" i="4" s="1"/>
  <c r="D78" i="4"/>
  <c r="E78" i="4" s="1"/>
  <c r="D60" i="4"/>
  <c r="E60" i="4" s="1"/>
  <c r="D31" i="4"/>
  <c r="E31" i="4" s="1"/>
  <c r="E11" i="1" l="1"/>
  <c r="E17" i="1"/>
  <c r="E6" i="1"/>
  <c r="E12" i="1"/>
  <c r="E13" i="1"/>
  <c r="E8" i="1"/>
  <c r="E14" i="1"/>
  <c r="E9" i="1"/>
  <c r="I7" i="1"/>
  <c r="E10" i="1" l="1"/>
  <c r="E16" i="1"/>
  <c r="E7" i="1"/>
  <c r="E5" i="1"/>
  <c r="E15" i="1"/>
  <c r="E18" i="1"/>
</calcChain>
</file>

<file path=xl/sharedStrings.xml><?xml version="1.0" encoding="utf-8"?>
<sst xmlns="http://schemas.openxmlformats.org/spreadsheetml/2006/main" count="309" uniqueCount="273">
  <si>
    <t>Mean Intensity in GFP cell</t>
  </si>
  <si>
    <t>Mean intensity Background</t>
  </si>
  <si>
    <t>WT Sucrose</t>
  </si>
  <si>
    <t>WT Pe</t>
  </si>
  <si>
    <t>Mean Intensity in GFP cell - Mean Intensity Background</t>
  </si>
  <si>
    <t>Ratio Final concentration/Average Control Sucrose</t>
  </si>
  <si>
    <t>MycRNAi Sucrose</t>
  </si>
  <si>
    <t>MycRNAi Pe</t>
  </si>
  <si>
    <t>StringRNAi Pe</t>
  </si>
  <si>
    <t>StringRNAi Sucrose</t>
  </si>
  <si>
    <t>20241018_Image1_Cell1 Exp1 Sum Slices 12-21</t>
  </si>
  <si>
    <t>20241018_Image1_Cell2 Exp1 Sum Slices 11-17</t>
  </si>
  <si>
    <t>20241018_Image1_Cell3 Exp1 Sum Slices 9-16</t>
  </si>
  <si>
    <t>20241018_Image2_Cell1 Exp1 Sum Slices 7-11</t>
  </si>
  <si>
    <t>20241018_Image2_Cell2 Exp1 Sum Slices 5-13</t>
  </si>
  <si>
    <t>20241018_Image2_Cell3 Exp1 Sum Slices 3-11</t>
  </si>
  <si>
    <t>20241018_Image3_Cell1 Exp1 Sum Slices 8-13</t>
  </si>
  <si>
    <t>20241018_Image3_Cell2 Exp1 Sum Slices 3-9</t>
  </si>
  <si>
    <t>20241018_Image3_Cell3 Exp1 Sum Slices 3-6</t>
  </si>
  <si>
    <t>20241018_Image4_Cell1 Exp1 Sum Slices 4-7</t>
  </si>
  <si>
    <t>20241018_Image4_Cell2 Exp1 Sum Slices 5-8</t>
  </si>
  <si>
    <t>20241018_Image4_Cell3 Exp1 Sum Slices 3-6</t>
  </si>
  <si>
    <t>20241018_Image6_Cell1 Exp1 Sum Slices 5-8</t>
  </si>
  <si>
    <t>20241018_Image6_Cell2 Exp1 Sum Slices 4-9</t>
  </si>
  <si>
    <t>20241018_Image6_Cell3 Exp1 Sum Slices 1-9</t>
  </si>
  <si>
    <t>20241018_Image1_Cell1 Exp1 Sum Slices 16-22</t>
  </si>
  <si>
    <t>20241018_Image1_Cell2 Exp1 Sum Slices 6-9</t>
  </si>
  <si>
    <t>20241018_Image1_Cell3 Exp1 Sum Slices 13-17</t>
  </si>
  <si>
    <t>20241018_Image2_Cell1 Exp1 Sum Slices 12-16</t>
  </si>
  <si>
    <t>20241018_Image2_Cell2 Exp1 Sum Slices 10-16</t>
  </si>
  <si>
    <t>20241018_Image2_Cell3 Exp1 Sum Slices 14-18</t>
  </si>
  <si>
    <t>20241018_Image3_Cell1 Exp1 Sum Slices 10-16</t>
  </si>
  <si>
    <t>20241018_Image3_Cell2 Exp1 Sum Slices 6-10</t>
  </si>
  <si>
    <t>20241018_Image3_Cell3 Exp1 Sum Slices 4-9</t>
  </si>
  <si>
    <t>20241018_Image4_Cell1 Exp1 Sum Slices 8-13</t>
  </si>
  <si>
    <t>20241018_Image4_Cell2 Exp1 Sum Slices 4-11</t>
  </si>
  <si>
    <t>20241018_Image4_Cell3 Exp1 Sum Slices 11-15</t>
  </si>
  <si>
    <t>20241018_Image5_Cell1 Exp1 Sum Slices 3-12</t>
  </si>
  <si>
    <t>20241018_Image5_Cell2 Exp1 Sum Slices 3-8</t>
  </si>
  <si>
    <t>20241018_Image5_Cell3 Exp1 Sum Slices 4-8</t>
  </si>
  <si>
    <t>20241018_Image1_Cell1 Exp1 Sum Slices 2-6</t>
  </si>
  <si>
    <t>20241018_Image1_Cell2 Exp1 Sum Slices 3-6</t>
  </si>
  <si>
    <t>20241018_Image1_Cell3 Exp1 Sum Slices 5-8</t>
  </si>
  <si>
    <t>20241018_Image2_Cell1 Exp1 Sum Slices 7-10</t>
  </si>
  <si>
    <t>20241018_Image2_Cell2 Exp1 Sum Slices 7-9</t>
  </si>
  <si>
    <t>20241018_Image2_Cell3 Exp1 Sum Slices 8-10</t>
  </si>
  <si>
    <t>20241018_Image3_Cell1 Exp1 Sum Slices 2-6</t>
  </si>
  <si>
    <t>20241018_Image3_Cell3 Exp1 Sum Slices 7-14</t>
  </si>
  <si>
    <t>20241018_Image4_Cell1 Exp1 Sum Slices 6-10</t>
  </si>
  <si>
    <t>20241018_Image4_Cell2 Exp1 Sum Slices 5-9</t>
  </si>
  <si>
    <t>20241018_Image4_Cell3 Exp1 Sum Slices 6-10</t>
  </si>
  <si>
    <t>20241018_Image5_Cell1 Exp1 Sum Slices 6-9</t>
  </si>
  <si>
    <t>20241018_Image5_Cell2 Exp1 Sum Slices 8-14</t>
  </si>
  <si>
    <t>20241018_Image5_Cell3 Exp1 Sum Slices 11-14</t>
  </si>
  <si>
    <t>20241018_Image1_Cell1 Exp1 Sum Slices 4-9</t>
  </si>
  <si>
    <t>20241018_Image1_Cell2 Exp1 Sum Slices 9-16</t>
  </si>
  <si>
    <t>20241018_Image1_Cell3 Exp1 Sum Slices 15-18</t>
  </si>
  <si>
    <t>20241018_Image2_Cell1 Exp1 Sum Slices 16-21</t>
  </si>
  <si>
    <t>20241018_Image2_Cell2 Exp1 Sum Slices 14-22</t>
  </si>
  <si>
    <t>20241018_Image2_Cell3 Exp1 Sum Slices 8-16</t>
  </si>
  <si>
    <t>20241018_Image3_Cell1 Exp1 Sum Slices 7-9</t>
  </si>
  <si>
    <t>20241018_Image3_Cell2 Exp1 Sum Slices 7-9</t>
  </si>
  <si>
    <t>20241018_Image3_Cell3 Exp1 Sum Slices 11-14</t>
  </si>
  <si>
    <t>20241018_Image4_Cell1 Exp1 Sum Slices 13-17</t>
  </si>
  <si>
    <t>20241018_Image4_Cell2 Exp1 Sum Slices 7-11</t>
  </si>
  <si>
    <t>20241018_Image4_Cell3 Exp1 Sum Slices 6-8</t>
  </si>
  <si>
    <t>20241018_Image5_Cell1 Exp1 Sum Slices 11-16</t>
  </si>
  <si>
    <t>20241018_Image5_Cell2 Exp1 Sum Slices 7-12</t>
  </si>
  <si>
    <t>20241018_Image5_Cell3 Exp1 Sum Slices 5-9</t>
  </si>
  <si>
    <t>20241018_Image2_Cell1 Exp1 Sum Slices 3-8</t>
  </si>
  <si>
    <t>20241018_Image2_Cell2 Exp1 Sum Slices 4-9</t>
  </si>
  <si>
    <t>20241018_Image2_Cell3 Exp1 Sum Slices 3-7</t>
  </si>
  <si>
    <t>20241018_Image3_Cell1 Exp1 Sum Slices 2-8</t>
  </si>
  <si>
    <t>20241018_Image3_Cell2 Exp1 Sum Slices 2-8</t>
  </si>
  <si>
    <t>20241018_Image3_Cell3 Exp1 Sum Slices 3-11</t>
  </si>
  <si>
    <t>20241018_Image4_Cell1 Exp1 Sum Slices 5-12</t>
  </si>
  <si>
    <t>20241018_Image4_Cell2 Exp1 Sum Slices 3-11</t>
  </si>
  <si>
    <t>20241018_Image4_Cell3 Exp1 Sum Slices 5-13</t>
  </si>
  <si>
    <t>20241018_Image6_Cell1 Exp1 Sum Slices 5-14</t>
  </si>
  <si>
    <t>20241018_Image6_Cell2 Exp1 Sum Slices 3-10</t>
  </si>
  <si>
    <t>20241018_Image6_Cell3 Exp1 Sum Slices 6-13</t>
  </si>
  <si>
    <t>20241018_Image7_Cell1 Exp1 Sum Slices 3-9</t>
  </si>
  <si>
    <t>20241018_Image7_Cell2 Exp1 Sum Slices 2-11</t>
  </si>
  <si>
    <t>20241018_Image7_Cell3 Exp1 Sum Slices 4-9</t>
  </si>
  <si>
    <t>20241018_Image1_Cell1 Exp1 Sum Slices 4-12</t>
  </si>
  <si>
    <t>20241018_Image1_Cell2 Exp1 Sum Slices 3-8</t>
  </si>
  <si>
    <t>20241018_Image1_Cell3 Exp1 Sum Slices 3-8</t>
  </si>
  <si>
    <t>20241018_Image2_Cell1 Exp1 Sum Slices 3-6</t>
  </si>
  <si>
    <t>20241018_Image2_Cell2 Exp1 Sum Slices 7-11</t>
  </si>
  <si>
    <t>20241018_Image2_Cell3 Exp1 Sum Slices 11-15</t>
  </si>
  <si>
    <t>20241018_Image3_Cell1 Exp1 Sum Slices 3-7</t>
  </si>
  <si>
    <t>20241018_Image3_Cell2 Exp1 Sum Slices 5-9</t>
  </si>
  <si>
    <t>20241018_Image3_Cell3 Exp1 Sum Slices 2-14</t>
  </si>
  <si>
    <t>20241018_Image4_Cell2 Exp1 Sum Slices 5-13</t>
  </si>
  <si>
    <t>20241018_Image4_Cell3 Exp1 Sum Slices 15-21</t>
  </si>
  <si>
    <t>20241018_Image5_Cell1 Exp1 Sum Slices 2-7</t>
  </si>
  <si>
    <t>20241018_Image5_Cell2 Exp1 Sum Slices 2-5</t>
  </si>
  <si>
    <t>20241025_Image1_Cell1 Exp2 Sum Slices 5-9</t>
  </si>
  <si>
    <t>20241025_Image1_Cell2 Exp2 Sum Slices 3-8</t>
  </si>
  <si>
    <t>20241025_Image1_Cell3 Exp2 Sum Slices 3-8</t>
  </si>
  <si>
    <t>20241025_Image2_Cell1 Exp2 Sum Slices 2-9</t>
  </si>
  <si>
    <t>20241025_Image2_Cell2 Exp2 Sum Slices 3-10</t>
  </si>
  <si>
    <t>20241025_Image2_Cell3 Exp2 Sum Slices 2-10</t>
  </si>
  <si>
    <t>20241025_Image3_Cell1 Exp2 Sum Slices 6-11</t>
  </si>
  <si>
    <t>20241025_Image3_Cell2 Exp2 Sum Slices 2-11</t>
  </si>
  <si>
    <t>20241025_Image3_Cell3 Exp2 Sum Slices 3-10</t>
  </si>
  <si>
    <t>20241025_Image4_Cell1 Exp2 Sum Slices 4-11</t>
  </si>
  <si>
    <t>20241025_Image4_Cell2 Exp2 Sum Slices 4-10</t>
  </si>
  <si>
    <t>20241025_Image4_Cell3 Exp2 Sum Slices 4-9</t>
  </si>
  <si>
    <t>20241025_Image5_Cell1 Exp2 Sum Slices 6-9</t>
  </si>
  <si>
    <t>20241025_Image5_Cell2 Exp2 Sum Slices 10-15</t>
  </si>
  <si>
    <t>20241025_Image5_Cell3 Exp2 Sum Slices 4-9</t>
  </si>
  <si>
    <t>20241025_Image1_Cell1 Exp2 Sum Slices 10-16</t>
  </si>
  <si>
    <t>20241025_Image1_Cell2 Exp2 Sum Slices 8-13</t>
  </si>
  <si>
    <t>20241025_Image1_Cell3 Exp2 Sum Slices 4-9</t>
  </si>
  <si>
    <t>20241025_Image2_Cell1 Exp2 Sum Slices 7-11</t>
  </si>
  <si>
    <t>20241025_Image2_Cell2 Exp2 Sum Slices 7-12</t>
  </si>
  <si>
    <t>20241025_Image2_Cell3 Exp2 Sum Slices 2-5</t>
  </si>
  <si>
    <t>20241025_Image3_Cell1 Exp2 Sum Slices 2-8</t>
  </si>
  <si>
    <t>20241025_Image3_Cell2 Exp2 Sum Slices 3-12</t>
  </si>
  <si>
    <t>20241025_Image3_Cell3 Exp2 Sum Slices 7-15</t>
  </si>
  <si>
    <t>20241025_Image4_Cell1 Exp2 Sum Slices 3-9</t>
  </si>
  <si>
    <t>20241025_Image4_Cell2 Exp2 Sum Slices 2-7</t>
  </si>
  <si>
    <t>20241025_Image4_Cell3 Exp2 Sum Slices 9-14</t>
  </si>
  <si>
    <t>20241025_Image5_Cell1  Exp2 Sum Slices 7-12</t>
  </si>
  <si>
    <t>20241025_Image5_Cell2  Exp2 Sum Slices 4-7</t>
  </si>
  <si>
    <t>20241025_Image5_Cell3  Exp2 Sum Slices 4-10</t>
  </si>
  <si>
    <t>20241025_Image1_Cell1 Exp2 Sum Slices 2-7</t>
  </si>
  <si>
    <t>20241025_Image1_Cell2 Exp2 Sum Slices 4-8</t>
  </si>
  <si>
    <t>20241025_Image1_Cell3 Exp2 Sum Slices 4-7</t>
  </si>
  <si>
    <t>20241025_Image2_Cell1 Exp2 Sum Slices 5-9</t>
  </si>
  <si>
    <t>20241025_Image2_Cell2 Exp2 Sum Slices 12-14</t>
  </si>
  <si>
    <t>20241025_Image2_Cell3 Exp2 Sum Slices 3-5</t>
  </si>
  <si>
    <t>20241025_Image3_Cell1 Exp2 Sum Slices 8-14</t>
  </si>
  <si>
    <t>20241025_Image3_Cell2 Exp2 Sum Slices 6-10</t>
  </si>
  <si>
    <t>20241025_Image3_Cell3 Exp2 Sum Slices 3-8</t>
  </si>
  <si>
    <t>20241025_Image4_Cell1 Exp2 Sum Slices 3-7</t>
  </si>
  <si>
    <t>20241025_Image4_Cell3 Exp2 Sum Slices 3-6</t>
  </si>
  <si>
    <t>20241025_Image5_Cell1 Exp2 Sum Slices 6-10</t>
  </si>
  <si>
    <t>20241025_Image5_Cell2 Exp2 Sum Slices 7-8</t>
  </si>
  <si>
    <t>20241025_Image5_Cell3 Exp2 Sum Slices 6-8</t>
  </si>
  <si>
    <t>20241025_Image2_Cell1 Exp2 Sum Slices 6-12</t>
  </si>
  <si>
    <t>20241025_Image2_Cell2 Exp2 Sum Slices 6-13</t>
  </si>
  <si>
    <t>20241025_Image2_Cell3 Exp2 Sum Slices 11-18</t>
  </si>
  <si>
    <t>20241025_Image3_Cell1 Exp2 Sum Slices 3-8</t>
  </si>
  <si>
    <t>20241025_Image3_Cell2 Exp2 Sum Slices 9-14</t>
  </si>
  <si>
    <t>20241025_Image3_Cell3 Exp2 Sum Slices 17-24</t>
  </si>
  <si>
    <t>20241025_Image4_Cell1 Exp2 Sum Slices 5-8</t>
  </si>
  <si>
    <t>20241025_Image4_Cell2 Exp2 Sum Slices 6-10</t>
  </si>
  <si>
    <t>20241025_Image4_Cell3 Exp2 Sum Slices 7-11</t>
  </si>
  <si>
    <t>20241025_Image5_Cell1 Exp2 Sum Slices 11-17</t>
  </si>
  <si>
    <t>20241025_Image5_Cell2 Exp2 Sum Slices 11-15</t>
  </si>
  <si>
    <t>20241025_Image5_Cell3 Exp2 Sum Slices 8-17</t>
  </si>
  <si>
    <t>20241025_Image6_Cell1 Exp2 Sum Slices 5-11</t>
  </si>
  <si>
    <t>20241025_Image6_Cell2 Exp2 Sum Slices 6-10</t>
  </si>
  <si>
    <t>20241025_Image6_Cell3 Exp2 Sum Slices 6-10</t>
  </si>
  <si>
    <t>20241025_Image1_Cell1 Exp2 Sum Slices 4-10</t>
  </si>
  <si>
    <t>20241025_Image1_Cell2 Exp2 Sum Slices 4-14</t>
  </si>
  <si>
    <t>20241025_Image1_Cell3 Exp2 Sum Slices 5-11</t>
  </si>
  <si>
    <t>20241025_Image2_Cell1 Exp2 Sum Slices 4-9</t>
  </si>
  <si>
    <t>20241025_Image2_Cell2 Exp2 Sum Slices 2-9</t>
  </si>
  <si>
    <t>20241025_Image2_Cell3 Exp2 Sum Slices 3-9</t>
  </si>
  <si>
    <t>20241025_Image3_Cell1 Exp2 Sum Slices 4-7</t>
  </si>
  <si>
    <t>20241025_Image3_Cell2 Exp2 Sum Slices 1-11</t>
  </si>
  <si>
    <t>20241025_Image3_Cell3 Exp2 Sum Slices 3-7</t>
  </si>
  <si>
    <t>20241025_Image4_Cell1 Exp2 Sum Slices 2-5</t>
  </si>
  <si>
    <t>20241025_Image4_Cell2 Exp2 Sum Slices 3-5</t>
  </si>
  <si>
    <t>20241025_Image4_Cell3 Exp2 Sum Slices 3-5</t>
  </si>
  <si>
    <t>20241025_Image5_Cell1 Exp2 Sum Slices 5-13</t>
  </si>
  <si>
    <t>20241025_Image5_Cell2 Exp2 Sum Slices 5-11</t>
  </si>
  <si>
    <t>20241025_Image5_Cell3 Exp2 Sum Slices 4-7</t>
  </si>
  <si>
    <t>20241025_Image1_Cell1 Exp2 Sum Slices 6-11</t>
  </si>
  <si>
    <t>20241025_Image1_Cell2 Exp2 Sum Slices 5-10</t>
  </si>
  <si>
    <t>20241025_Image1_Cell3 Exp2 Sum Slices 5-10</t>
  </si>
  <si>
    <t>20241025_Image2_Cell1 Exp2 Sum Slices 2-7</t>
  </si>
  <si>
    <t>20241025_Image2_Cell2 Exp2 Sum Slices 5-10</t>
  </si>
  <si>
    <t>20241025_Image2_Cell3 Exp2 Sum Slices 5-11</t>
  </si>
  <si>
    <t>20241025_Image3_Cell1 Exp2 Sum Slices 12-18</t>
  </si>
  <si>
    <t>20241025_Image3_Cell2 Exp2 Sum Slices 9-15</t>
  </si>
  <si>
    <t>20241025_Image3_Cell3 Exp2 Sum Slices 13-19</t>
  </si>
  <si>
    <t>20241025_Image4_Cell1 Exp2 Sum Slices 4-7</t>
  </si>
  <si>
    <t>20241025_Image4_Cell2 Exp2 Sum Slices 13-16</t>
  </si>
  <si>
    <t>20241025_Image4_Cell3 Exp2 Sum Slices 15-21</t>
  </si>
  <si>
    <t>20241025_Image5_Cell1 Exp2 Sum Slices 4-11</t>
  </si>
  <si>
    <t>20241025_Image5_Cell2 Exp2 Sum Slices 2-9</t>
  </si>
  <si>
    <t>20241025_Image5_Cell3 Exp2 Sum Slices 13-17</t>
  </si>
  <si>
    <t>20241101_Image1_Cell1 Exp3 Sum Slices 4-10</t>
  </si>
  <si>
    <t>20241101_Image1_Cell2 Exp3 Sum Slices 3-9</t>
  </si>
  <si>
    <t>20241101_Image1_Cell3 Exp3 Sum Slices 3-10</t>
  </si>
  <si>
    <t>20241101_Image2_Cell1 Exp3 Sum Slices 3-10</t>
  </si>
  <si>
    <t>20241101_Image2_Cell2 Exp3 Sum Slices 6-9</t>
  </si>
  <si>
    <t>20241101_Image2_Cell3 Exp3 Sum Slices 4-12</t>
  </si>
  <si>
    <t>20241101_Image3_Cell1 Exp3 Sum Slices 4-9</t>
  </si>
  <si>
    <t>20241101_Image3_Cell2 Exp3 Sum Slices 2-9</t>
  </si>
  <si>
    <t>20241101_Image3_Cell3 Exp3 Sum Slices 2-8</t>
  </si>
  <si>
    <t>20241101_Image4_Cell1 Exp3 Sum Slices 5-13</t>
  </si>
  <si>
    <t>20241101_Image4_Cell2 Exp3 Sum Slices 2-9</t>
  </si>
  <si>
    <t>20241101_Image4_Cell3 Exp3 Sum Slices 2-10</t>
  </si>
  <si>
    <t>20241101_Image5_Cell1 Exp3 Sum Slices 4-13</t>
  </si>
  <si>
    <t>20241101_Image5_Cell2 Exp3 Sum Slices 3-15</t>
  </si>
  <si>
    <t>20241101_Image5_Cell3 Exp3 Sum Slices 3-10</t>
  </si>
  <si>
    <t>20241101_Image1_Cell1 Exp3 Sum Slices 10-14</t>
  </si>
  <si>
    <t>20241101_Image1_Cell2 Exp3 Sum Slices 8-12</t>
  </si>
  <si>
    <t>20241101_Image1_Cell3 Exp3 Sum Slices 6-12</t>
  </si>
  <si>
    <t>20241101_Image2_Cell1 Exp3 Sum Slices 7-10</t>
  </si>
  <si>
    <t>20241101_Image2_Cell2 Exp3 Sum Slices 5-8</t>
  </si>
  <si>
    <t>20241101_Image2_Cell3 Exp3 Sum Slices 4-7</t>
  </si>
  <si>
    <t>20241101_Image3_Cell1 Exp3 Sum Slices 11-17</t>
  </si>
  <si>
    <t>20241101_Image3_Cell2 Exp3 Sum Slices 4-10</t>
  </si>
  <si>
    <t>20241101_Image3_Cell3 Exp3 Sum Slices 8-15</t>
  </si>
  <si>
    <t>20241101_Image4_Cell1 Exp3 Sum Slices 4-9</t>
  </si>
  <si>
    <t>20241101_Image4_Cell2 Exp3 Sum Slices 4-7</t>
  </si>
  <si>
    <t>20241101_Image4_Cell3 Exp3 Sum Slices 9-13</t>
  </si>
  <si>
    <t>20241101_Image5_Cell1 Exp3 Sum Slices 5-9</t>
  </si>
  <si>
    <t>20241101_Image5_Cell2 Exp3 Sum Slices 5-7</t>
  </si>
  <si>
    <t>20241101_Image5_Cell3 Exp3 Sum Slices 3-7</t>
  </si>
  <si>
    <t>20241101_Image1_Cell1 Exp3 Sum Slices 5-9</t>
  </si>
  <si>
    <t>20241101_Image1_Cell2 Exp3 Sum Slices 5-8</t>
  </si>
  <si>
    <t>20241101_Image1_Cell3 Exp3 Sum Slices 4-8</t>
  </si>
  <si>
    <t>20241101_Image2_Cell1 Exp3 Sum Slices 5-11</t>
  </si>
  <si>
    <t>20241101_Image2_Cell2 Exp3 Sum Slices 5-10</t>
  </si>
  <si>
    <t>20241101_Image2_Cell3 Exp3 Sum Slices 7-14</t>
  </si>
  <si>
    <t>20241101_Image3_Cell1 Exp3 Sum Slices 3-6</t>
  </si>
  <si>
    <t>20241101_Image3_Cell2 Exp3 Sum Slices 3-6</t>
  </si>
  <si>
    <t>20241101_Image3_Cell3 Exp3 Sum Slices 4-11</t>
  </si>
  <si>
    <t>20241101_Image4_Cell1 Exp3 Sum Slices 4-8</t>
  </si>
  <si>
    <t>20241101_Image4_Cell2 Exp3 Sum Slices 4-9</t>
  </si>
  <si>
    <t>20241101_Image4_Cell3 Exp3 Sum Slices 4-6</t>
  </si>
  <si>
    <t>20241101_Image5_Cell1 Exp3 Sum Slices 6-11</t>
  </si>
  <si>
    <t>20241101_Image5_Cell2 Exp3 Sum Slices 6-12</t>
  </si>
  <si>
    <t>20241101_Image5_Cell3 Exp3 Sum Slices 6-8</t>
  </si>
  <si>
    <t>20241101_Image1_Cell2 Exp3 Sum Slices 6-8</t>
  </si>
  <si>
    <t>20241101_Image1_Cell3 Exp3 Sum Slices 6-10</t>
  </si>
  <si>
    <t>20241101_Image2_Cell1 Exp3 Sum Slices 10-14</t>
  </si>
  <si>
    <t>20241101_Image2_Cell2 Exp3 Sum Slices 3-8</t>
  </si>
  <si>
    <t>Average control exp1</t>
  </si>
  <si>
    <t>Average control exp2</t>
  </si>
  <si>
    <t>20241101_Image2_Cell3 Exp3 Sum Slices 3-11</t>
  </si>
  <si>
    <t>20241101_Image3_Cell1 Exp3 Sum Slices 1-6</t>
  </si>
  <si>
    <t>20241101_Image3_Cell2 Exp3 Sum Slices 9-13</t>
  </si>
  <si>
    <t>20241101_Image3_Cell3 Exp3 Sum Slices 7-11</t>
  </si>
  <si>
    <t>20241101_Image4_Cell1 Exp3 Sum Slices 9-15</t>
  </si>
  <si>
    <t>20241101_Image4_Cell2 Exp3 Sum Slices 6-12</t>
  </si>
  <si>
    <t>20241101_Image4_Cell3 Exp3 Sum Slices 4-9</t>
  </si>
  <si>
    <t>20241101_Image5_Cell1 Exp3 Sum Slices 9-12</t>
  </si>
  <si>
    <t>20241101_Image5_Cell2 Exp3 Sum Slices 7-11</t>
  </si>
  <si>
    <t>20241101_Image5_Cell3 Exp3 Sum Slices 8-15</t>
  </si>
  <si>
    <t>20241101_Image1_Cell1 Exp3 Sum Slices 7-12</t>
  </si>
  <si>
    <t>20241101_Image1_Cell2 Exp3 Sum Slices 4-8</t>
  </si>
  <si>
    <t>20241101_Image1_Cell3 Exp3 Sum Slices 5-12</t>
  </si>
  <si>
    <t>20241101_Image2_Cell1 Exp3 Sum Slices 3-7</t>
  </si>
  <si>
    <t>20241101_Image2_Cell2 Exp3 Sum Slices 4-8</t>
  </si>
  <si>
    <t>20241101_Image2_Cell3 Exp3 Sum Slices 6-8</t>
  </si>
  <si>
    <t>20241101_Image3_Cell1 Exp3 Sum Slices 3-7</t>
  </si>
  <si>
    <t>20241101_Image3_Cell2 Exp3 Sum Slices 2-5</t>
  </si>
  <si>
    <t>20241101_Image3_Cell3 Exp3 Sum Slices 5-9</t>
  </si>
  <si>
    <t>20241101_Image4_Cell1 Exp3 Sum Slices 5-12</t>
  </si>
  <si>
    <t>20241101_Image4_Cell2 Exp3 Sum Slices 5-9</t>
  </si>
  <si>
    <t>20241101_Image4_Cell3 Exp3 Sum Slices 2-7</t>
  </si>
  <si>
    <t>20241101_Image6_Cell1 Exp3 Sum Slices 4-8</t>
  </si>
  <si>
    <t>20241101_Image6_Cell2 Exp3 Sum Slices 3-8</t>
  </si>
  <si>
    <t>20241101_Image6_Cell3 Exp3 Sum Slices 4-11</t>
  </si>
  <si>
    <t>20241101_Image1_Cell1 Exp3 Sum Slices 4-9</t>
  </si>
  <si>
    <t>20241101_Image1_Cell2 Exp3 Sum Slices 7-10</t>
  </si>
  <si>
    <t>20241101_Image1_Cell3 Exp3 Sum Slices 8-14</t>
  </si>
  <si>
    <t>20241101_Image2_Cell1 Exp3 Sum Slices 13-16</t>
  </si>
  <si>
    <t>20241101_Image2_Cell2 Exp3 Sum Slices 10-13</t>
  </si>
  <si>
    <t>20241101_Image2_Cell3 Exp3 Sum Slices 20-25</t>
  </si>
  <si>
    <t>20241101_Image3_Cell1 Exp3 Sum Slices 6-11</t>
  </si>
  <si>
    <t>20241101_Image4_Cell1 Exp3 Sum Slices 8-12</t>
  </si>
  <si>
    <t>20241101_Image5_Cell1 Exp3 Sum Slices 4-8</t>
  </si>
  <si>
    <t>20241101_Image5_Cell2 Exp3 Sum Slices 5-10</t>
  </si>
  <si>
    <t>20241101_Image5_Cell3 Exp3 Sum Slices 17-22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</si>
</sst>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3" xfId="0" applyBorder="1"/>
    <xf numFmtId="0" fontId="0" fillId="0" borderId="5" xfId="0" applyBorder="1"/>
    <xf numFmtId="0" fontId="0" fillId="0" borderId="6" xfId="0" applyBorder="1"/>
    <xf numFmtId="0" fontId="0" fillId="2" borderId="1" xfId="0" applyFill="1" applyBorder="1"/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0" fontId="0" fillId="5" borderId="2" xfId="0" applyFill="1" applyBorder="1" applyAlignment="1">
      <alignment wrapText="1"/>
    </xf>
    <xf numFmtId="0" fontId="0" fillId="6" borderId="2" xfId="0" applyFill="1" applyBorder="1" applyAlignment="1">
      <alignment wrapText="1"/>
    </xf>
    <xf numFmtId="0" fontId="0" fillId="7" borderId="2" xfId="0" applyFill="1" applyBorder="1" applyAlignment="1">
      <alignment wrapText="1"/>
    </xf>
    <xf numFmtId="0" fontId="0" fillId="7" borderId="4" xfId="0" applyFill="1" applyBorder="1" applyAlignment="1">
      <alignment wrapText="1"/>
    </xf>
    <xf numFmtId="0" fontId="0" fillId="0" borderId="3" xfId="0" applyFill="1" applyBorder="1"/>
    <xf numFmtId="0" fontId="0" fillId="0" borderId="0" xfId="0" applyBorder="1"/>
    <xf numFmtId="0" fontId="0" fillId="0" borderId="6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97"/>
  <sheetViews>
    <sheetView topLeftCell="A43" zoomScale="90" zoomScaleNormal="90" workbookViewId="0">
      <selection activeCell="E97" sqref="E97"/>
    </sheetView>
  </sheetViews>
  <sheetFormatPr defaultColWidth="11.42578125" defaultRowHeight="15" x14ac:dyDescent="0.25"/>
  <cols>
    <col min="1" max="1" width="24.140625" bestFit="1" customWidth="1"/>
    <col min="2" max="2" width="15.7109375" customWidth="1"/>
    <col min="3" max="3" width="17.85546875" customWidth="1"/>
    <col min="4" max="4" width="19.7109375" customWidth="1"/>
    <col min="5" max="5" width="14.28515625" customWidth="1"/>
    <col min="6" max="6" width="9.85546875" customWidth="1"/>
    <col min="8" max="8" width="22.5703125" customWidth="1"/>
    <col min="9" max="9" width="15.85546875" customWidth="1"/>
    <col min="10" max="11" width="14.42578125" customWidth="1"/>
    <col min="12" max="12" width="14.28515625" customWidth="1"/>
  </cols>
  <sheetData>
    <row r="2" spans="1:12" ht="15.75" thickBot="1" x14ac:dyDescent="0.3"/>
    <row r="3" spans="1:12" ht="75.75" thickBot="1" x14ac:dyDescent="0.3">
      <c r="A3" s="4" t="s">
        <v>2</v>
      </c>
      <c r="B3" s="5" t="s">
        <v>0</v>
      </c>
      <c r="C3" s="5" t="s">
        <v>1</v>
      </c>
      <c r="D3" s="6" t="s">
        <v>4</v>
      </c>
      <c r="E3" s="6" t="s">
        <v>5</v>
      </c>
      <c r="H3" s="7"/>
      <c r="I3" s="8"/>
      <c r="J3" s="8"/>
      <c r="K3" s="8"/>
      <c r="L3" s="8"/>
    </row>
    <row r="4" spans="1:12" ht="30" x14ac:dyDescent="0.25">
      <c r="A4" s="11" t="s">
        <v>25</v>
      </c>
      <c r="B4" s="16">
        <v>59026</v>
      </c>
      <c r="C4" s="16">
        <f>((60643+54836+57085)/3)</f>
        <v>57521.333333333336</v>
      </c>
      <c r="D4" s="16">
        <f>B4-C4</f>
        <v>1504.6666666666642</v>
      </c>
      <c r="E4" s="1">
        <f>D4/$I$7</f>
        <v>0.17695807732213348</v>
      </c>
      <c r="H4" s="7"/>
    </row>
    <row r="5" spans="1:12" ht="30" x14ac:dyDescent="0.25">
      <c r="A5" s="11" t="s">
        <v>26</v>
      </c>
      <c r="B5" s="16">
        <v>52086</v>
      </c>
      <c r="C5" s="16">
        <f>((31818+45570+48655)/3)</f>
        <v>42014.333333333336</v>
      </c>
      <c r="D5" s="16">
        <f t="shared" ref="D5:D48" si="0">B5-C5</f>
        <v>10071.666666666664</v>
      </c>
      <c r="E5" s="1">
        <f t="shared" ref="E5:E18" si="1">D5/$I$7</f>
        <v>1.1844900988675833</v>
      </c>
      <c r="H5" s="7"/>
    </row>
    <row r="6" spans="1:12" ht="30" x14ac:dyDescent="0.25">
      <c r="A6" s="11" t="s">
        <v>27</v>
      </c>
      <c r="B6" s="16">
        <v>50222</v>
      </c>
      <c r="C6" s="16">
        <f>((26706+38096+37240)/3)</f>
        <v>34014</v>
      </c>
      <c r="D6" s="16">
        <f t="shared" si="0"/>
        <v>16208</v>
      </c>
      <c r="E6" s="1">
        <f t="shared" si="1"/>
        <v>1.9061607336533966</v>
      </c>
      <c r="H6" s="7"/>
    </row>
    <row r="7" spans="1:12" ht="30" x14ac:dyDescent="0.25">
      <c r="A7" s="11" t="s">
        <v>28</v>
      </c>
      <c r="B7" s="16">
        <v>33615</v>
      </c>
      <c r="C7" s="16">
        <f>((30760+27269+27282)/3)</f>
        <v>28437</v>
      </c>
      <c r="D7" s="16">
        <f t="shared" si="0"/>
        <v>5178</v>
      </c>
      <c r="E7" s="1">
        <f t="shared" si="1"/>
        <v>0.60896472599070139</v>
      </c>
      <c r="H7" s="7" t="s">
        <v>235</v>
      </c>
      <c r="I7">
        <f>((D4+D5+D6+D7+D8+D9+D10+D11+D12+D13+D14+D15+D16+D17+D18)/15)</f>
        <v>8502.9555555555544</v>
      </c>
    </row>
    <row r="8" spans="1:12" ht="30" x14ac:dyDescent="0.25">
      <c r="A8" s="11" t="s">
        <v>29</v>
      </c>
      <c r="B8" s="16">
        <v>44942</v>
      </c>
      <c r="C8" s="16">
        <f>((46598+43796+41670)/3)</f>
        <v>44021.333333333336</v>
      </c>
      <c r="D8" s="16">
        <f t="shared" si="0"/>
        <v>920.66666666666424</v>
      </c>
      <c r="E8" s="1">
        <f t="shared" si="1"/>
        <v>0.10827607655377319</v>
      </c>
      <c r="H8" s="7"/>
    </row>
    <row r="9" spans="1:12" ht="30" x14ac:dyDescent="0.25">
      <c r="A9" s="11" t="s">
        <v>30</v>
      </c>
      <c r="B9" s="16">
        <v>33224</v>
      </c>
      <c r="C9" s="16">
        <f>((29551+36361+33625)/3)</f>
        <v>33179</v>
      </c>
      <c r="D9" s="16">
        <f t="shared" si="0"/>
        <v>45</v>
      </c>
      <c r="E9" s="1">
        <f t="shared" si="1"/>
        <v>5.2922774564661181E-3</v>
      </c>
      <c r="H9" s="7" t="s">
        <v>236</v>
      </c>
      <c r="I9">
        <f>((D19+D20+D21+D22+D23+D24+D25+D26+D27+D28+D29+D30+D31+D32+D33)/15)</f>
        <v>3750.1555555555556</v>
      </c>
    </row>
    <row r="10" spans="1:12" ht="30" x14ac:dyDescent="0.25">
      <c r="A10" s="11" t="s">
        <v>31</v>
      </c>
      <c r="B10" s="16">
        <v>57855</v>
      </c>
      <c r="C10" s="16">
        <f>((39974+36312+30019)/3)</f>
        <v>35435</v>
      </c>
      <c r="D10" s="16">
        <f>B10-C10</f>
        <v>22420</v>
      </c>
      <c r="E10" s="1">
        <f t="shared" si="1"/>
        <v>2.6367302349771196</v>
      </c>
      <c r="H10" s="7"/>
    </row>
    <row r="11" spans="1:12" ht="30" x14ac:dyDescent="0.25">
      <c r="A11" s="11" t="s">
        <v>32</v>
      </c>
      <c r="B11" s="16">
        <v>31393</v>
      </c>
      <c r="C11" s="16">
        <f>((22829+23789+21184)/3)</f>
        <v>22600.666666666668</v>
      </c>
      <c r="D11" s="16">
        <f>B11-C11</f>
        <v>8792.3333333333321</v>
      </c>
      <c r="E11" s="1">
        <f t="shared" si="1"/>
        <v>1.0340326108830131</v>
      </c>
      <c r="H11" s="7" t="s">
        <v>236</v>
      </c>
      <c r="I11">
        <f>((D34+D35+D36+D37+D38+D39+D40+D42+D41+D43+D44+D45+D46+D47+D48)/15)</f>
        <v>10034.955555555556</v>
      </c>
    </row>
    <row r="12" spans="1:12" ht="30" x14ac:dyDescent="0.25">
      <c r="A12" s="11" t="s">
        <v>33</v>
      </c>
      <c r="B12" s="16">
        <v>45765</v>
      </c>
      <c r="C12" s="16">
        <f>((39080+40608+33954)/3)</f>
        <v>37880.666666666664</v>
      </c>
      <c r="D12" s="16">
        <f t="shared" si="0"/>
        <v>7884.3333333333358</v>
      </c>
      <c r="E12" s="1">
        <f t="shared" si="1"/>
        <v>0.92724621242809735</v>
      </c>
      <c r="H12" s="7"/>
    </row>
    <row r="13" spans="1:12" ht="30" x14ac:dyDescent="0.25">
      <c r="A13" s="11" t="s">
        <v>34</v>
      </c>
      <c r="B13" s="16">
        <v>47702</v>
      </c>
      <c r="C13" s="16">
        <f>((28944+26431+26704)/3)</f>
        <v>27359.666666666668</v>
      </c>
      <c r="D13" s="16">
        <f t="shared" si="0"/>
        <v>20342.333333333332</v>
      </c>
      <c r="E13" s="1">
        <f t="shared" si="1"/>
        <v>2.392383824709317</v>
      </c>
      <c r="H13" s="7"/>
    </row>
    <row r="14" spans="1:12" ht="30" x14ac:dyDescent="0.25">
      <c r="A14" s="11" t="s">
        <v>35</v>
      </c>
      <c r="B14" s="16">
        <v>44522</v>
      </c>
      <c r="C14" s="16">
        <f>((22924+50276+31276)/3)</f>
        <v>34825.333333333336</v>
      </c>
      <c r="D14" s="16">
        <f t="shared" si="0"/>
        <v>9696.6666666666642</v>
      </c>
      <c r="E14" s="1">
        <f t="shared" si="1"/>
        <v>1.1403877867303656</v>
      </c>
      <c r="H14" s="7"/>
    </row>
    <row r="15" spans="1:12" ht="30" x14ac:dyDescent="0.25">
      <c r="A15" s="11" t="s">
        <v>36</v>
      </c>
      <c r="B15" s="16">
        <v>35313</v>
      </c>
      <c r="C15" s="16">
        <f>((37110+23169+28858)/3)</f>
        <v>29712.333333333332</v>
      </c>
      <c r="D15" s="16">
        <f t="shared" si="0"/>
        <v>5600.6666666666679</v>
      </c>
      <c r="E15" s="1">
        <f t="shared" si="1"/>
        <v>0.65867293202624988</v>
      </c>
      <c r="H15" s="7"/>
    </row>
    <row r="16" spans="1:12" ht="30" x14ac:dyDescent="0.25">
      <c r="A16" s="11" t="s">
        <v>37</v>
      </c>
      <c r="B16" s="16">
        <v>67119</v>
      </c>
      <c r="C16" s="16">
        <f>((46584+77815+53548)/3)</f>
        <v>59315.666666666664</v>
      </c>
      <c r="D16" s="16">
        <f t="shared" si="0"/>
        <v>7803.3333333333358</v>
      </c>
      <c r="E16" s="1">
        <f t="shared" si="1"/>
        <v>0.91772011300645828</v>
      </c>
      <c r="H16" s="7"/>
    </row>
    <row r="17" spans="1:8" ht="30" x14ac:dyDescent="0.25">
      <c r="A17" s="11" t="s">
        <v>38</v>
      </c>
      <c r="B17" s="16">
        <v>45573</v>
      </c>
      <c r="C17" s="16">
        <f>((32260+54158+40513)/3)</f>
        <v>42310.333333333336</v>
      </c>
      <c r="D17" s="16">
        <f t="shared" si="0"/>
        <v>3262.6666666666642</v>
      </c>
      <c r="E17" s="1">
        <f t="shared" si="1"/>
        <v>0.38370971662140985</v>
      </c>
      <c r="H17" s="7"/>
    </row>
    <row r="18" spans="1:8" ht="30" x14ac:dyDescent="0.25">
      <c r="A18" s="11" t="s">
        <v>39</v>
      </c>
      <c r="B18" s="16">
        <v>35211</v>
      </c>
      <c r="C18" s="16">
        <f>((33931+26862+21398)/3)</f>
        <v>27397</v>
      </c>
      <c r="D18" s="16">
        <f t="shared" si="0"/>
        <v>7814</v>
      </c>
      <c r="E18" s="1">
        <f t="shared" si="1"/>
        <v>0.91897457877391664</v>
      </c>
      <c r="H18" s="7"/>
    </row>
    <row r="19" spans="1:8" ht="30" x14ac:dyDescent="0.25">
      <c r="A19" s="12" t="s">
        <v>112</v>
      </c>
      <c r="B19" s="16">
        <v>22190</v>
      </c>
      <c r="C19" s="16">
        <f>((12216+22438+14968)/3)</f>
        <v>16540.666666666668</v>
      </c>
      <c r="D19" s="16">
        <f t="shared" si="0"/>
        <v>5649.3333333333321</v>
      </c>
      <c r="E19" s="1">
        <f>D19/$I$9</f>
        <v>1.50642640009007</v>
      </c>
      <c r="H19" s="7"/>
    </row>
    <row r="20" spans="1:8" ht="30" x14ac:dyDescent="0.25">
      <c r="A20" s="12" t="s">
        <v>113</v>
      </c>
      <c r="B20" s="16">
        <v>13668</v>
      </c>
      <c r="C20" s="16">
        <f>((7727+11447+12153)/3)</f>
        <v>10442.333333333334</v>
      </c>
      <c r="D20" s="16">
        <f t="shared" si="0"/>
        <v>3225.6666666666661</v>
      </c>
      <c r="E20" s="1">
        <f t="shared" ref="E20:E33" si="2">D20/$I$9</f>
        <v>0.86014209780927586</v>
      </c>
      <c r="H20" s="7"/>
    </row>
    <row r="21" spans="1:8" ht="30" x14ac:dyDescent="0.25">
      <c r="A21" s="12" t="s">
        <v>114</v>
      </c>
      <c r="B21" s="16">
        <v>18910</v>
      </c>
      <c r="C21" s="16">
        <f>((11681+14752+13058)/3)</f>
        <v>13163.666666666666</v>
      </c>
      <c r="D21" s="16">
        <f t="shared" si="0"/>
        <v>5746.3333333333339</v>
      </c>
      <c r="E21" s="1">
        <f t="shared" si="2"/>
        <v>1.5322919938135902</v>
      </c>
      <c r="H21" s="7"/>
    </row>
    <row r="22" spans="1:8" ht="30" x14ac:dyDescent="0.25">
      <c r="A22" s="12" t="s">
        <v>115</v>
      </c>
      <c r="B22" s="16">
        <v>16136</v>
      </c>
      <c r="C22" s="16">
        <f>((11241+6264+15682)/3)</f>
        <v>11062.333333333334</v>
      </c>
      <c r="D22" s="16">
        <f t="shared" si="0"/>
        <v>5073.6666666666661</v>
      </c>
      <c r="E22" s="1">
        <f t="shared" si="2"/>
        <v>1.3529216565831341</v>
      </c>
      <c r="H22" s="7"/>
    </row>
    <row r="23" spans="1:8" ht="30" x14ac:dyDescent="0.25">
      <c r="A23" s="12" t="s">
        <v>116</v>
      </c>
      <c r="B23" s="16">
        <v>28139</v>
      </c>
      <c r="C23" s="16">
        <f>((28881+25236+16783)/3)</f>
        <v>23633.333333333332</v>
      </c>
      <c r="D23" s="16">
        <f t="shared" si="0"/>
        <v>4505.6666666666679</v>
      </c>
      <c r="E23" s="1">
        <f t="shared" si="2"/>
        <v>1.2014612727175764</v>
      </c>
      <c r="H23" s="7"/>
    </row>
    <row r="24" spans="1:8" ht="30" x14ac:dyDescent="0.25">
      <c r="A24" s="12" t="s">
        <v>117</v>
      </c>
      <c r="B24" s="16">
        <v>15214</v>
      </c>
      <c r="C24" s="16">
        <f>((10951+12424+11401)/3)</f>
        <v>11592</v>
      </c>
      <c r="D24" s="16">
        <f t="shared" si="0"/>
        <v>3622</v>
      </c>
      <c r="E24" s="1">
        <f t="shared" si="2"/>
        <v>0.96582660274833043</v>
      </c>
      <c r="H24" s="7"/>
    </row>
    <row r="25" spans="1:8" ht="30" x14ac:dyDescent="0.25">
      <c r="A25" s="12" t="s">
        <v>118</v>
      </c>
      <c r="B25" s="16">
        <v>9540</v>
      </c>
      <c r="C25" s="16">
        <f>((8044+7728+6972)/3)</f>
        <v>7581.333333333333</v>
      </c>
      <c r="D25" s="16">
        <f t="shared" si="0"/>
        <v>1958.666666666667</v>
      </c>
      <c r="E25" s="1">
        <f t="shared" si="2"/>
        <v>0.52228944577113845</v>
      </c>
      <c r="H25" s="7"/>
    </row>
    <row r="26" spans="1:8" ht="30" x14ac:dyDescent="0.25">
      <c r="A26" s="12" t="s">
        <v>119</v>
      </c>
      <c r="B26" s="16">
        <v>21266</v>
      </c>
      <c r="C26" s="16">
        <f>((10821+9923+11299)/3)</f>
        <v>10681</v>
      </c>
      <c r="D26" s="16">
        <f t="shared" si="0"/>
        <v>10585</v>
      </c>
      <c r="E26" s="1">
        <f t="shared" si="2"/>
        <v>2.8225495831284038</v>
      </c>
      <c r="H26" s="7"/>
    </row>
    <row r="27" spans="1:8" ht="30" x14ac:dyDescent="0.25">
      <c r="A27" s="12" t="s">
        <v>120</v>
      </c>
      <c r="B27" s="16">
        <v>14969</v>
      </c>
      <c r="C27" s="16">
        <f>((9545+7479+7138)/3)</f>
        <v>8054</v>
      </c>
      <c r="D27" s="16">
        <f t="shared" si="0"/>
        <v>6915</v>
      </c>
      <c r="E27" s="1">
        <f t="shared" si="2"/>
        <v>1.843923511321012</v>
      </c>
      <c r="H27" s="7"/>
    </row>
    <row r="28" spans="1:8" ht="30" x14ac:dyDescent="0.25">
      <c r="A28" s="12" t="s">
        <v>121</v>
      </c>
      <c r="B28" s="16">
        <v>22119</v>
      </c>
      <c r="C28" s="16">
        <f>((11608+22344+22220)/3)</f>
        <v>18724</v>
      </c>
      <c r="D28" s="16">
        <f t="shared" si="0"/>
        <v>3395</v>
      </c>
      <c r="E28" s="1">
        <f t="shared" si="2"/>
        <v>0.90529578032318658</v>
      </c>
      <c r="H28" s="7"/>
    </row>
    <row r="29" spans="1:8" ht="30" x14ac:dyDescent="0.25">
      <c r="A29" s="12" t="s">
        <v>122</v>
      </c>
      <c r="B29" s="16">
        <v>16762</v>
      </c>
      <c r="C29" s="16">
        <f>((14368+15107+16464)/3)</f>
        <v>15313</v>
      </c>
      <c r="D29" s="16">
        <f t="shared" si="0"/>
        <v>1449</v>
      </c>
      <c r="E29" s="1">
        <f t="shared" si="2"/>
        <v>0.3863839722204116</v>
      </c>
      <c r="H29" s="7"/>
    </row>
    <row r="30" spans="1:8" ht="30" x14ac:dyDescent="0.25">
      <c r="A30" s="12" t="s">
        <v>123</v>
      </c>
      <c r="B30" s="16">
        <v>45926</v>
      </c>
      <c r="C30" s="16">
        <f>((26829+50168+59257)/3)</f>
        <v>45418</v>
      </c>
      <c r="D30" s="16">
        <f t="shared" si="0"/>
        <v>508</v>
      </c>
      <c r="E30" s="1">
        <f t="shared" si="2"/>
        <v>0.13546104754173161</v>
      </c>
      <c r="H30" s="7"/>
    </row>
    <row r="31" spans="1:8" ht="30" x14ac:dyDescent="0.25">
      <c r="A31" s="12" t="s">
        <v>124</v>
      </c>
      <c r="B31" s="16">
        <v>27458</v>
      </c>
      <c r="C31" s="16">
        <f>((28497+27281+26017)/3)</f>
        <v>27265</v>
      </c>
      <c r="D31" s="16">
        <f t="shared" si="0"/>
        <v>193</v>
      </c>
      <c r="E31" s="1">
        <f t="shared" si="2"/>
        <v>5.1464531841642125E-2</v>
      </c>
      <c r="H31" s="7"/>
    </row>
    <row r="32" spans="1:8" ht="30" x14ac:dyDescent="0.25">
      <c r="A32" s="12" t="s">
        <v>125</v>
      </c>
      <c r="B32" s="16">
        <v>13593</v>
      </c>
      <c r="C32" s="16">
        <f>((14930+10950+10070)/3)</f>
        <v>11983.333333333334</v>
      </c>
      <c r="D32" s="16">
        <f t="shared" si="0"/>
        <v>1609.6666666666661</v>
      </c>
      <c r="E32" s="1">
        <f t="shared" si="2"/>
        <v>0.42922663948754702</v>
      </c>
      <c r="H32" s="7"/>
    </row>
    <row r="33" spans="1:8" ht="30" x14ac:dyDescent="0.25">
      <c r="A33" s="12" t="s">
        <v>126</v>
      </c>
      <c r="B33" s="16">
        <v>9335</v>
      </c>
      <c r="C33" s="16">
        <f>((2649+9317+10590)/3)</f>
        <v>7518.666666666667</v>
      </c>
      <c r="D33" s="16">
        <f t="shared" si="0"/>
        <v>1816.333333333333</v>
      </c>
      <c r="E33" s="1">
        <f t="shared" si="2"/>
        <v>0.48433546460294974</v>
      </c>
      <c r="H33" s="7"/>
    </row>
    <row r="34" spans="1:8" ht="30" x14ac:dyDescent="0.25">
      <c r="A34" s="13" t="s">
        <v>201</v>
      </c>
      <c r="B34" s="16">
        <v>27403</v>
      </c>
      <c r="C34" s="16">
        <f>((23413+22480+24350)/3)</f>
        <v>23414.333333333332</v>
      </c>
      <c r="D34" s="16">
        <f t="shared" si="0"/>
        <v>3988.6666666666679</v>
      </c>
      <c r="E34" s="1">
        <f>D34/$I$11</f>
        <v>0.39747726281243573</v>
      </c>
    </row>
    <row r="35" spans="1:8" ht="30" x14ac:dyDescent="0.25">
      <c r="A35" s="13" t="s">
        <v>202</v>
      </c>
      <c r="B35" s="16">
        <v>33657</v>
      </c>
      <c r="C35" s="16">
        <f>((25699+24082+23839)/3)</f>
        <v>24540</v>
      </c>
      <c r="D35" s="16">
        <f t="shared" si="0"/>
        <v>9117</v>
      </c>
      <c r="E35" s="1">
        <f t="shared" ref="E35:E48" si="3">D35/$I$11</f>
        <v>0.90852420317423754</v>
      </c>
      <c r="H35" s="7"/>
    </row>
    <row r="36" spans="1:8" ht="30" x14ac:dyDescent="0.25">
      <c r="A36" s="13" t="s">
        <v>203</v>
      </c>
      <c r="B36" s="16">
        <v>53341</v>
      </c>
      <c r="C36" s="16">
        <f>((36377+44371+37500)/3)</f>
        <v>39416</v>
      </c>
      <c r="D36" s="16">
        <f t="shared" si="0"/>
        <v>13925</v>
      </c>
      <c r="E36" s="1">
        <f t="shared" si="3"/>
        <v>1.3876493944500667</v>
      </c>
      <c r="H36" s="7"/>
    </row>
    <row r="37" spans="1:8" ht="30" x14ac:dyDescent="0.25">
      <c r="A37" s="13" t="s">
        <v>204</v>
      </c>
      <c r="B37" s="16">
        <v>31584</v>
      </c>
      <c r="C37" s="16">
        <f>((17867+19396+17425)/3)</f>
        <v>18229.333333333332</v>
      </c>
      <c r="D37" s="16">
        <f t="shared" si="0"/>
        <v>13354.666666666668</v>
      </c>
      <c r="E37" s="1">
        <f t="shared" si="3"/>
        <v>1.3308147298443442</v>
      </c>
      <c r="H37" s="7"/>
    </row>
    <row r="38" spans="1:8" ht="30" x14ac:dyDescent="0.25">
      <c r="A38" s="13" t="s">
        <v>205</v>
      </c>
      <c r="B38" s="16">
        <v>41201</v>
      </c>
      <c r="C38" s="16">
        <f>((25687+29850+28758)/3)</f>
        <v>28098.333333333332</v>
      </c>
      <c r="D38" s="16">
        <f t="shared" si="0"/>
        <v>13102.666666666668</v>
      </c>
      <c r="E38" s="1">
        <f t="shared" si="3"/>
        <v>1.3057025110004363</v>
      </c>
      <c r="H38" s="7"/>
    </row>
    <row r="39" spans="1:8" ht="30" x14ac:dyDescent="0.25">
      <c r="A39" s="13" t="s">
        <v>206</v>
      </c>
      <c r="B39" s="16">
        <v>39703</v>
      </c>
      <c r="C39" s="16">
        <f>((22223+26453+28756)/3)</f>
        <v>25810.666666666668</v>
      </c>
      <c r="D39" s="16">
        <f t="shared" si="0"/>
        <v>13892.333333333332</v>
      </c>
      <c r="E39" s="1">
        <f t="shared" si="3"/>
        <v>1.3843941068221526</v>
      </c>
      <c r="H39" s="7"/>
    </row>
    <row r="40" spans="1:8" ht="30" x14ac:dyDescent="0.25">
      <c r="A40" s="13" t="s">
        <v>207</v>
      </c>
      <c r="B40" s="16">
        <v>49841</v>
      </c>
      <c r="C40" s="16">
        <f>((31810+36969+43219)/3)</f>
        <v>37332.666666666664</v>
      </c>
      <c r="D40" s="16">
        <f t="shared" si="0"/>
        <v>12508.333333333336</v>
      </c>
      <c r="E40" s="1">
        <f t="shared" si="3"/>
        <v>1.2464762065048178</v>
      </c>
      <c r="H40" s="7"/>
    </row>
    <row r="41" spans="1:8" ht="30" x14ac:dyDescent="0.25">
      <c r="A41" s="13" t="s">
        <v>208</v>
      </c>
      <c r="B41" s="16">
        <v>53381</v>
      </c>
      <c r="C41" s="16">
        <f>((35879+43602+30497)/3)</f>
        <v>36659.333333333336</v>
      </c>
      <c r="D41" s="16">
        <f t="shared" si="0"/>
        <v>16721.666666666664</v>
      </c>
      <c r="E41" s="1">
        <f t="shared" si="3"/>
        <v>1.6663418760643347</v>
      </c>
      <c r="H41" s="7"/>
    </row>
    <row r="42" spans="1:8" ht="30" x14ac:dyDescent="0.25">
      <c r="A42" s="13" t="s">
        <v>209</v>
      </c>
      <c r="B42" s="16">
        <v>51481</v>
      </c>
      <c r="C42" s="16">
        <f>((37628+37196+36658)/3)</f>
        <v>37160.666666666664</v>
      </c>
      <c r="D42" s="16">
        <f t="shared" si="0"/>
        <v>14320.333333333336</v>
      </c>
      <c r="E42" s="1">
        <f t="shared" si="3"/>
        <v>1.4270450181919647</v>
      </c>
      <c r="H42" s="7"/>
    </row>
    <row r="43" spans="1:8" ht="30" x14ac:dyDescent="0.25">
      <c r="A43" s="13" t="s">
        <v>210</v>
      </c>
      <c r="B43" s="16">
        <v>33720</v>
      </c>
      <c r="C43" s="16">
        <f>((32611+33198+32545)/3)</f>
        <v>32784.666666666664</v>
      </c>
      <c r="D43" s="16">
        <f t="shared" si="0"/>
        <v>935.33333333333576</v>
      </c>
      <c r="E43" s="1">
        <f t="shared" si="3"/>
        <v>9.3207521264557683E-2</v>
      </c>
      <c r="H43" s="7"/>
    </row>
    <row r="44" spans="1:8" ht="30" x14ac:dyDescent="0.25">
      <c r="A44" s="13" t="s">
        <v>211</v>
      </c>
      <c r="B44" s="16">
        <v>28360</v>
      </c>
      <c r="C44" s="16">
        <f>((20464+18526+19849)/3)</f>
        <v>19613</v>
      </c>
      <c r="D44" s="16">
        <f t="shared" si="0"/>
        <v>8747</v>
      </c>
      <c r="E44" s="1">
        <f t="shared" si="3"/>
        <v>0.87165308820500775</v>
      </c>
      <c r="H44" s="7"/>
    </row>
    <row r="45" spans="1:8" ht="30" x14ac:dyDescent="0.25">
      <c r="A45" s="13" t="s">
        <v>212</v>
      </c>
      <c r="B45" s="16">
        <v>32329</v>
      </c>
      <c r="C45" s="16">
        <f>((25924+28024+29609)/3)</f>
        <v>27852.333333333332</v>
      </c>
      <c r="D45" s="16">
        <f t="shared" si="0"/>
        <v>4476.6666666666679</v>
      </c>
      <c r="E45" s="1">
        <f t="shared" si="3"/>
        <v>0.44610727390698746</v>
      </c>
      <c r="H45" s="7"/>
    </row>
    <row r="46" spans="1:8" ht="30" x14ac:dyDescent="0.25">
      <c r="A46" s="13" t="s">
        <v>213</v>
      </c>
      <c r="B46" s="16">
        <v>31897</v>
      </c>
      <c r="C46" s="16">
        <f>((23225+21633+26910)/3)</f>
        <v>23922.666666666668</v>
      </c>
      <c r="D46" s="16">
        <f t="shared" si="0"/>
        <v>7974.3333333333321</v>
      </c>
      <c r="E46" s="1">
        <f t="shared" si="3"/>
        <v>0.79465557063863412</v>
      </c>
      <c r="H46" s="7"/>
    </row>
    <row r="47" spans="1:8" ht="30" x14ac:dyDescent="0.25">
      <c r="A47" s="13" t="s">
        <v>214</v>
      </c>
      <c r="B47" s="16">
        <v>20159</v>
      </c>
      <c r="C47" s="16">
        <f>((11891+15136+14780)/3)</f>
        <v>13935.666666666666</v>
      </c>
      <c r="D47" s="16">
        <f t="shared" si="0"/>
        <v>6223.3333333333339</v>
      </c>
      <c r="E47" s="1">
        <f t="shared" si="3"/>
        <v>0.62016551033830636</v>
      </c>
      <c r="H47" s="7"/>
    </row>
    <row r="48" spans="1:8" ht="30.75" thickBot="1" x14ac:dyDescent="0.3">
      <c r="A48" s="14" t="s">
        <v>215</v>
      </c>
      <c r="B48" s="2">
        <v>29363</v>
      </c>
      <c r="C48" s="2">
        <f>((18591+17906+17881)/3)</f>
        <v>18126</v>
      </c>
      <c r="D48" s="2">
        <f t="shared" si="0"/>
        <v>11237</v>
      </c>
      <c r="E48" s="3">
        <f t="shared" si="3"/>
        <v>1.1197857267817162</v>
      </c>
      <c r="H48" s="7"/>
    </row>
    <row r="51" spans="1:12" ht="15.75" thickBot="1" x14ac:dyDescent="0.3"/>
    <row r="52" spans="1:12" ht="75.75" thickBot="1" x14ac:dyDescent="0.3">
      <c r="A52" s="4" t="s">
        <v>3</v>
      </c>
      <c r="B52" s="5" t="s">
        <v>0</v>
      </c>
      <c r="C52" s="5" t="s">
        <v>1</v>
      </c>
      <c r="D52" s="6" t="s">
        <v>4</v>
      </c>
      <c r="E52" s="6" t="s">
        <v>5</v>
      </c>
      <c r="H52" s="7"/>
      <c r="I52" s="8"/>
      <c r="J52" s="8"/>
      <c r="K52" s="8"/>
      <c r="L52" s="8"/>
    </row>
    <row r="53" spans="1:12" ht="30" x14ac:dyDescent="0.25">
      <c r="A53" s="11" t="s">
        <v>10</v>
      </c>
      <c r="B53" s="16">
        <v>138583</v>
      </c>
      <c r="C53" s="16">
        <f>((87791+82828+97836)/3)</f>
        <v>89485</v>
      </c>
      <c r="D53" s="16">
        <f>B53-C53</f>
        <v>49098</v>
      </c>
      <c r="E53" s="1">
        <f>D53/$I$7</f>
        <v>5.7742275235016329</v>
      </c>
      <c r="H53" s="7"/>
    </row>
    <row r="54" spans="1:12" ht="30" x14ac:dyDescent="0.25">
      <c r="A54" s="11" t="s">
        <v>11</v>
      </c>
      <c r="B54" s="16">
        <v>82968</v>
      </c>
      <c r="C54" s="16">
        <f>((58232+57671+50331)/3)</f>
        <v>55411.333333333336</v>
      </c>
      <c r="D54" s="16">
        <f t="shared" ref="D54:D82" si="4">B54-C54</f>
        <v>27556.666666666664</v>
      </c>
      <c r="E54" s="1">
        <f t="shared" ref="E54:E67" si="5">D54/$I$7</f>
        <v>3.2408339061189184</v>
      </c>
      <c r="H54" s="7"/>
    </row>
    <row r="55" spans="1:12" ht="30" x14ac:dyDescent="0.25">
      <c r="A55" s="11" t="s">
        <v>12</v>
      </c>
      <c r="B55" s="16">
        <v>98526</v>
      </c>
      <c r="C55" s="16">
        <f>((91393+88678+79530)/3)</f>
        <v>86533.666666666672</v>
      </c>
      <c r="D55" s="16">
        <f t="shared" si="4"/>
        <v>11992.333333333328</v>
      </c>
      <c r="E55" s="1">
        <f t="shared" si="5"/>
        <v>1.4103723411206035</v>
      </c>
      <c r="H55" s="7"/>
    </row>
    <row r="56" spans="1:12" ht="30" x14ac:dyDescent="0.25">
      <c r="A56" s="11" t="s">
        <v>13</v>
      </c>
      <c r="B56" s="16">
        <v>73984</v>
      </c>
      <c r="C56" s="16">
        <f>((40064+33096+42451)/3)</f>
        <v>38537</v>
      </c>
      <c r="D56" s="16">
        <f t="shared" si="4"/>
        <v>35447</v>
      </c>
      <c r="E56" s="1">
        <f t="shared" si="5"/>
        <v>4.1687857555412107</v>
      </c>
      <c r="H56" s="7"/>
    </row>
    <row r="57" spans="1:12" ht="30" x14ac:dyDescent="0.25">
      <c r="A57" s="11" t="s">
        <v>14</v>
      </c>
      <c r="B57" s="16">
        <v>116764</v>
      </c>
      <c r="C57" s="16">
        <f>((49782+71347+51532)/3)</f>
        <v>57553.666666666664</v>
      </c>
      <c r="D57" s="16">
        <f t="shared" si="4"/>
        <v>59210.333333333336</v>
      </c>
      <c r="E57" s="1">
        <f t="shared" si="5"/>
        <v>6.9635002731076527</v>
      </c>
      <c r="H57" s="7"/>
    </row>
    <row r="58" spans="1:12" ht="30" x14ac:dyDescent="0.25">
      <c r="A58" s="11" t="s">
        <v>15</v>
      </c>
      <c r="B58" s="16">
        <v>74868</v>
      </c>
      <c r="C58" s="16">
        <f>((45519+43600+64622)/3)</f>
        <v>51247</v>
      </c>
      <c r="D58" s="16">
        <f t="shared" si="4"/>
        <v>23621</v>
      </c>
      <c r="E58" s="1">
        <f t="shared" si="5"/>
        <v>2.7779752399819153</v>
      </c>
      <c r="H58" s="7"/>
    </row>
    <row r="59" spans="1:12" ht="30" x14ac:dyDescent="0.25">
      <c r="A59" s="11" t="s">
        <v>16</v>
      </c>
      <c r="B59" s="16">
        <v>62035</v>
      </c>
      <c r="C59" s="16">
        <f>((33278+41644+29388)/3)</f>
        <v>34770</v>
      </c>
      <c r="D59" s="16">
        <f t="shared" si="4"/>
        <v>27265</v>
      </c>
      <c r="E59" s="1">
        <f t="shared" si="5"/>
        <v>3.2065321077899713</v>
      </c>
      <c r="H59" s="7"/>
    </row>
    <row r="60" spans="1:12" ht="30" x14ac:dyDescent="0.25">
      <c r="A60" s="11" t="s">
        <v>17</v>
      </c>
      <c r="B60" s="16">
        <v>99800</v>
      </c>
      <c r="C60" s="16">
        <f>((48308+44021+61354)/3)</f>
        <v>51227.666666666664</v>
      </c>
      <c r="D60" s="16">
        <f t="shared" si="4"/>
        <v>48572.333333333336</v>
      </c>
      <c r="E60" s="1">
        <f t="shared" si="5"/>
        <v>5.7124058823990627</v>
      </c>
      <c r="H60" s="7"/>
    </row>
    <row r="61" spans="1:12" ht="30" x14ac:dyDescent="0.25">
      <c r="A61" s="11" t="s">
        <v>18</v>
      </c>
      <c r="B61" s="16">
        <v>42581</v>
      </c>
      <c r="C61" s="16">
        <f>((21924+24760+22457)/3)</f>
        <v>23047</v>
      </c>
      <c r="D61" s="16">
        <f t="shared" si="4"/>
        <v>19534</v>
      </c>
      <c r="E61" s="1">
        <f t="shared" si="5"/>
        <v>2.2973188407690923</v>
      </c>
      <c r="H61" s="7"/>
    </row>
    <row r="62" spans="1:12" ht="30" x14ac:dyDescent="0.25">
      <c r="A62" s="11" t="s">
        <v>19</v>
      </c>
      <c r="B62" s="16">
        <v>46315</v>
      </c>
      <c r="C62" s="16">
        <f>((22330+19103+17427)/3)</f>
        <v>19620</v>
      </c>
      <c r="D62" s="16">
        <f t="shared" si="4"/>
        <v>26695</v>
      </c>
      <c r="E62" s="1">
        <f t="shared" si="5"/>
        <v>3.1394965933414007</v>
      </c>
      <c r="H62" s="7"/>
    </row>
    <row r="63" spans="1:12" ht="30" x14ac:dyDescent="0.25">
      <c r="A63" s="11" t="s">
        <v>20</v>
      </c>
      <c r="B63" s="16">
        <v>62014</v>
      </c>
      <c r="C63" s="16">
        <f>((37100+35699+35289)/3)</f>
        <v>36029.333333333336</v>
      </c>
      <c r="D63" s="16">
        <f t="shared" si="4"/>
        <v>25984.666666666664</v>
      </c>
      <c r="E63" s="1">
        <f t="shared" si="5"/>
        <v>3.0559570136397021</v>
      </c>
      <c r="H63" s="7"/>
    </row>
    <row r="64" spans="1:12" ht="30" x14ac:dyDescent="0.25">
      <c r="A64" s="11" t="s">
        <v>21</v>
      </c>
      <c r="B64" s="16">
        <v>49807</v>
      </c>
      <c r="C64" s="16">
        <f>((34644+28301+21671)/3)</f>
        <v>28205.333333333332</v>
      </c>
      <c r="D64" s="16">
        <f t="shared" si="4"/>
        <v>21601.666666666668</v>
      </c>
      <c r="E64" s="1">
        <f t="shared" si="5"/>
        <v>2.5404891893799024</v>
      </c>
      <c r="H64" s="7"/>
    </row>
    <row r="65" spans="1:8" ht="30" x14ac:dyDescent="0.25">
      <c r="A65" s="11" t="s">
        <v>22</v>
      </c>
      <c r="B65" s="16">
        <v>58951</v>
      </c>
      <c r="C65" s="16">
        <f>((30973+39975+43618)/3)</f>
        <v>38188.666666666664</v>
      </c>
      <c r="D65" s="16">
        <f t="shared" si="4"/>
        <v>20762.333333333336</v>
      </c>
      <c r="E65" s="1">
        <f t="shared" si="5"/>
        <v>2.441778414303001</v>
      </c>
      <c r="H65" s="7"/>
    </row>
    <row r="66" spans="1:8" ht="30" x14ac:dyDescent="0.25">
      <c r="A66" s="11" t="s">
        <v>23</v>
      </c>
      <c r="B66" s="16">
        <v>112296</v>
      </c>
      <c r="C66" s="16">
        <f>((76433+100727+79952)/3)</f>
        <v>85704</v>
      </c>
      <c r="D66" s="16">
        <f t="shared" si="4"/>
        <v>26592</v>
      </c>
      <c r="E66" s="1">
        <f t="shared" si="5"/>
        <v>3.1273831582743781</v>
      </c>
      <c r="H66" s="7"/>
    </row>
    <row r="67" spans="1:8" ht="30" x14ac:dyDescent="0.25">
      <c r="A67" s="11" t="s">
        <v>24</v>
      </c>
      <c r="B67" s="16">
        <v>82477</v>
      </c>
      <c r="C67" s="16">
        <f>((45920+49718+59463)/3)</f>
        <v>51700.333333333336</v>
      </c>
      <c r="D67" s="16">
        <f t="shared" si="4"/>
        <v>30776.666666666664</v>
      </c>
      <c r="E67" s="1">
        <f t="shared" si="5"/>
        <v>3.6195257596704939</v>
      </c>
      <c r="H67" s="7"/>
    </row>
    <row r="68" spans="1:8" ht="30" x14ac:dyDescent="0.25">
      <c r="A68" s="12" t="s">
        <v>97</v>
      </c>
      <c r="B68" s="16">
        <v>55453</v>
      </c>
      <c r="C68" s="16">
        <f>((47175+33811+30370)/3)</f>
        <v>37118.666666666664</v>
      </c>
      <c r="D68" s="16">
        <f t="shared" si="4"/>
        <v>18334.333333333336</v>
      </c>
      <c r="E68" s="1">
        <f>D68/$I$9</f>
        <v>4.8889527545524043</v>
      </c>
      <c r="H68" s="7"/>
    </row>
    <row r="69" spans="1:8" ht="30" x14ac:dyDescent="0.25">
      <c r="A69" s="12" t="s">
        <v>98</v>
      </c>
      <c r="B69" s="16">
        <v>49854</v>
      </c>
      <c r="C69" s="16">
        <f>((31898+37145+34221)/3)</f>
        <v>34421.333333333336</v>
      </c>
      <c r="D69" s="16">
        <f t="shared" si="4"/>
        <v>15432.666666666664</v>
      </c>
      <c r="E69" s="1">
        <f t="shared" ref="E69:E82" si="6">D69/$I$9</f>
        <v>4.1152070728917902</v>
      </c>
      <c r="H69" s="7"/>
    </row>
    <row r="70" spans="1:8" ht="30" x14ac:dyDescent="0.25">
      <c r="A70" s="12" t="s">
        <v>99</v>
      </c>
      <c r="B70" s="16">
        <v>55814</v>
      </c>
      <c r="C70" s="16">
        <f>((26650+37651+38025)/3)</f>
        <v>34108.666666666664</v>
      </c>
      <c r="D70" s="16">
        <f t="shared" si="4"/>
        <v>21705.333333333336</v>
      </c>
      <c r="E70" s="1">
        <f t="shared" si="6"/>
        <v>5.78784880034606</v>
      </c>
      <c r="H70" s="7"/>
    </row>
    <row r="71" spans="1:8" ht="30" x14ac:dyDescent="0.25">
      <c r="A71" s="12" t="s">
        <v>100</v>
      </c>
      <c r="B71" s="16">
        <v>84154</v>
      </c>
      <c r="C71" s="16">
        <f>((36617+50265+38907)/3)</f>
        <v>41929.666666666664</v>
      </c>
      <c r="D71" s="16">
        <f t="shared" si="4"/>
        <v>42224.333333333336</v>
      </c>
      <c r="E71" s="1">
        <f t="shared" si="6"/>
        <v>11.25935516748935</v>
      </c>
      <c r="H71" s="7"/>
    </row>
    <row r="72" spans="1:8" ht="30" x14ac:dyDescent="0.25">
      <c r="A72" s="12" t="s">
        <v>101</v>
      </c>
      <c r="B72" s="16">
        <v>81137</v>
      </c>
      <c r="C72" s="16">
        <f>((38429+30996+37990)/3)</f>
        <v>35805</v>
      </c>
      <c r="D72" s="16">
        <f t="shared" si="4"/>
        <v>45332</v>
      </c>
      <c r="E72" s="1">
        <f t="shared" si="6"/>
        <v>12.088031903861765</v>
      </c>
      <c r="H72" s="7"/>
    </row>
    <row r="73" spans="1:8" ht="30" x14ac:dyDescent="0.25">
      <c r="A73" s="12" t="s">
        <v>102</v>
      </c>
      <c r="B73" s="16">
        <v>89099</v>
      </c>
      <c r="C73" s="16">
        <f>((25544+43087+50700)/3)</f>
        <v>39777</v>
      </c>
      <c r="D73" s="16">
        <f t="shared" si="4"/>
        <v>49322</v>
      </c>
      <c r="E73" s="1">
        <f t="shared" si="6"/>
        <v>13.151987769396232</v>
      </c>
      <c r="H73" s="7"/>
    </row>
    <row r="74" spans="1:8" ht="30" x14ac:dyDescent="0.25">
      <c r="A74" s="12" t="s">
        <v>103</v>
      </c>
      <c r="B74" s="16">
        <v>106229</v>
      </c>
      <c r="C74" s="16">
        <f>((44325+71816+80416)/3)</f>
        <v>65519</v>
      </c>
      <c r="D74" s="16">
        <f t="shared" si="4"/>
        <v>40710</v>
      </c>
      <c r="E74" s="1">
        <f t="shared" si="6"/>
        <v>10.855549695716325</v>
      </c>
      <c r="H74" s="7"/>
    </row>
    <row r="75" spans="1:8" ht="30" x14ac:dyDescent="0.25">
      <c r="A75" s="12" t="s">
        <v>104</v>
      </c>
      <c r="B75" s="16">
        <v>88063</v>
      </c>
      <c r="C75" s="16">
        <f>((44558+57847+52638)/3)</f>
        <v>51681</v>
      </c>
      <c r="D75" s="16">
        <f t="shared" si="4"/>
        <v>36382</v>
      </c>
      <c r="E75" s="1">
        <f t="shared" si="6"/>
        <v>9.7014642355576353</v>
      </c>
      <c r="H75" s="7"/>
    </row>
    <row r="76" spans="1:8" ht="30" x14ac:dyDescent="0.25">
      <c r="A76" s="12" t="s">
        <v>105</v>
      </c>
      <c r="B76" s="16">
        <v>95960</v>
      </c>
      <c r="C76" s="16">
        <f>((59850+43963+37905)/3)</f>
        <v>47239.333333333336</v>
      </c>
      <c r="D76" s="16">
        <f t="shared" si="4"/>
        <v>48720.666666666664</v>
      </c>
      <c r="E76" s="1">
        <f t="shared" si="6"/>
        <v>12.991638865350771</v>
      </c>
      <c r="H76" s="7"/>
    </row>
    <row r="77" spans="1:8" ht="30" x14ac:dyDescent="0.25">
      <c r="A77" s="12" t="s">
        <v>106</v>
      </c>
      <c r="B77" s="16">
        <v>122455</v>
      </c>
      <c r="C77" s="16">
        <f>((55253+52273+57539)/3)</f>
        <v>55021.666666666664</v>
      </c>
      <c r="D77" s="16">
        <f t="shared" si="4"/>
        <v>67433.333333333343</v>
      </c>
      <c r="E77" s="1">
        <f t="shared" si="6"/>
        <v>17.981476323945085</v>
      </c>
      <c r="H77" s="7"/>
    </row>
    <row r="78" spans="1:8" ht="30" x14ac:dyDescent="0.25">
      <c r="A78" s="12" t="s">
        <v>107</v>
      </c>
      <c r="B78" s="16">
        <v>40927</v>
      </c>
      <c r="C78" s="16">
        <f>((36347+37462+37894)/3)</f>
        <v>37234.333333333336</v>
      </c>
      <c r="D78" s="16">
        <f t="shared" si="4"/>
        <v>3692.6666666666642</v>
      </c>
      <c r="E78" s="1">
        <f t="shared" si="6"/>
        <v>0.98467026552972547</v>
      </c>
      <c r="H78" s="7"/>
    </row>
    <row r="79" spans="1:8" ht="30" x14ac:dyDescent="0.25">
      <c r="A79" s="12" t="s">
        <v>108</v>
      </c>
      <c r="B79" s="16">
        <v>56420</v>
      </c>
      <c r="C79" s="16">
        <f>((45786+73898+40196)/3)</f>
        <v>53293.333333333336</v>
      </c>
      <c r="D79" s="16">
        <f t="shared" si="4"/>
        <v>3126.6666666666642</v>
      </c>
      <c r="E79" s="1">
        <f t="shared" si="6"/>
        <v>0.83374319287496157</v>
      </c>
      <c r="H79" s="7"/>
    </row>
    <row r="80" spans="1:8" ht="30" x14ac:dyDescent="0.25">
      <c r="A80" s="12" t="s">
        <v>109</v>
      </c>
      <c r="B80" s="16">
        <v>67324</v>
      </c>
      <c r="C80" s="16">
        <f>((41537+78221+69018)/3)</f>
        <v>62925.333333333336</v>
      </c>
      <c r="D80" s="16">
        <f t="shared" si="4"/>
        <v>4398.6666666666642</v>
      </c>
      <c r="E80" s="1">
        <f t="shared" si="6"/>
        <v>1.1729291229400849</v>
      </c>
      <c r="H80" s="7"/>
    </row>
    <row r="81" spans="1:8" ht="30" x14ac:dyDescent="0.25">
      <c r="A81" s="12" t="s">
        <v>110</v>
      </c>
      <c r="B81" s="16">
        <v>47790</v>
      </c>
      <c r="C81" s="16">
        <f>((28855+26954+27259)/3)</f>
        <v>27689.333333333332</v>
      </c>
      <c r="D81" s="16">
        <f t="shared" si="4"/>
        <v>20100.666666666668</v>
      </c>
      <c r="E81" s="1">
        <f t="shared" si="6"/>
        <v>5.359955438885498</v>
      </c>
      <c r="H81" s="7"/>
    </row>
    <row r="82" spans="1:8" ht="30" x14ac:dyDescent="0.25">
      <c r="A82" s="12" t="s">
        <v>111</v>
      </c>
      <c r="B82" s="16">
        <v>57688</v>
      </c>
      <c r="C82" s="16">
        <f>((36722+36347+44520)/3)</f>
        <v>39196.333333333336</v>
      </c>
      <c r="D82" s="16">
        <f t="shared" si="4"/>
        <v>18491.666666666664</v>
      </c>
      <c r="E82" s="1">
        <f t="shared" si="6"/>
        <v>4.9309065698015484</v>
      </c>
      <c r="H82" s="7"/>
    </row>
    <row r="83" spans="1:8" ht="30" x14ac:dyDescent="0.25">
      <c r="A83" s="13" t="s">
        <v>186</v>
      </c>
      <c r="B83" s="16">
        <v>87064</v>
      </c>
      <c r="C83" s="16">
        <f>((36647+35713+40535)/3)</f>
        <v>37631.666666666664</v>
      </c>
      <c r="D83" s="16">
        <f>B83-C83</f>
        <v>49432.333333333336</v>
      </c>
      <c r="E83" s="1">
        <f>D83/$I$11</f>
        <v>4.9260141771097921</v>
      </c>
    </row>
    <row r="84" spans="1:8" ht="30" x14ac:dyDescent="0.25">
      <c r="A84" s="13" t="s">
        <v>187</v>
      </c>
      <c r="B84" s="16">
        <v>176494</v>
      </c>
      <c r="C84" s="16">
        <f>((78755+92930+91354)/3)</f>
        <v>87679.666666666672</v>
      </c>
      <c r="D84" s="16">
        <f t="shared" ref="D84:D97" si="7">B84-C84</f>
        <v>88814.333333333328</v>
      </c>
      <c r="E84" s="1">
        <f t="shared" ref="E84:E97" si="8">D84/$I$11</f>
        <v>8.8504959331049449</v>
      </c>
    </row>
    <row r="85" spans="1:8" ht="30" x14ac:dyDescent="0.25">
      <c r="A85" s="13" t="s">
        <v>188</v>
      </c>
      <c r="B85" s="16">
        <v>110365</v>
      </c>
      <c r="C85" s="16">
        <f>((64311+76940+75703)/3)</f>
        <v>72318</v>
      </c>
      <c r="D85" s="16">
        <f t="shared" si="7"/>
        <v>38047</v>
      </c>
      <c r="E85" s="1">
        <f t="shared" si="8"/>
        <v>3.7914467871196904</v>
      </c>
    </row>
    <row r="86" spans="1:8" ht="30" x14ac:dyDescent="0.25">
      <c r="A86" s="13" t="s">
        <v>189</v>
      </c>
      <c r="B86" s="16">
        <v>148066</v>
      </c>
      <c r="C86" s="16">
        <f>((77362+89109+107534)/3)</f>
        <v>91335</v>
      </c>
      <c r="D86" s="16">
        <f t="shared" si="7"/>
        <v>56731</v>
      </c>
      <c r="E86" s="1">
        <f t="shared" si="8"/>
        <v>5.6533384414037151</v>
      </c>
    </row>
    <row r="87" spans="1:8" ht="30" x14ac:dyDescent="0.25">
      <c r="A87" s="13" t="s">
        <v>190</v>
      </c>
      <c r="B87" s="16">
        <v>136391</v>
      </c>
      <c r="C87" s="16">
        <f>((67240+78753+67353)/3)</f>
        <v>71115.333333333328</v>
      </c>
      <c r="D87" s="16">
        <f t="shared" si="7"/>
        <v>65275.666666666672</v>
      </c>
      <c r="E87" s="1">
        <f>D87/$I$11</f>
        <v>6.5048286766480725</v>
      </c>
    </row>
    <row r="88" spans="1:8" ht="30" x14ac:dyDescent="0.25">
      <c r="A88" s="13" t="s">
        <v>191</v>
      </c>
      <c r="B88" s="16">
        <v>181647</v>
      </c>
      <c r="C88" s="16">
        <f>((145659+116647+129890)/3)</f>
        <v>130732</v>
      </c>
      <c r="D88" s="16">
        <f t="shared" si="7"/>
        <v>50915</v>
      </c>
      <c r="E88" s="1">
        <f t="shared" si="8"/>
        <v>5.0737643747522547</v>
      </c>
    </row>
    <row r="89" spans="1:8" ht="30" x14ac:dyDescent="0.25">
      <c r="A89" s="13" t="s">
        <v>192</v>
      </c>
      <c r="B89" s="16">
        <v>99884</v>
      </c>
      <c r="C89" s="16">
        <f>((76770+80805+98057)/3)</f>
        <v>85210.666666666672</v>
      </c>
      <c r="D89" s="16">
        <f t="shared" si="7"/>
        <v>14673.333333333328</v>
      </c>
      <c r="E89" s="1">
        <f t="shared" si="8"/>
        <v>1.4622220549058507</v>
      </c>
    </row>
    <row r="90" spans="1:8" ht="30" x14ac:dyDescent="0.25">
      <c r="A90" s="13" t="s">
        <v>193</v>
      </c>
      <c r="B90" s="16">
        <v>109104</v>
      </c>
      <c r="C90" s="16">
        <f>((78299+79834+98560)/3)</f>
        <v>85564.333333333328</v>
      </c>
      <c r="D90" s="16">
        <f t="shared" si="7"/>
        <v>23539.666666666672</v>
      </c>
      <c r="E90" s="1">
        <f t="shared" si="8"/>
        <v>2.3457669081189536</v>
      </c>
    </row>
    <row r="91" spans="1:8" ht="30" x14ac:dyDescent="0.25">
      <c r="A91" s="13" t="s">
        <v>194</v>
      </c>
      <c r="B91" s="16">
        <v>120460</v>
      </c>
      <c r="C91" s="16">
        <f>((86563+67469+104306)/3)</f>
        <v>86112.666666666672</v>
      </c>
      <c r="D91" s="16">
        <f t="shared" si="7"/>
        <v>34347.333333333328</v>
      </c>
      <c r="E91" s="1">
        <f t="shared" si="8"/>
        <v>3.4227688546480848</v>
      </c>
    </row>
    <row r="92" spans="1:8" ht="30" x14ac:dyDescent="0.25">
      <c r="A92" s="13" t="s">
        <v>195</v>
      </c>
      <c r="B92" s="16">
        <v>114500</v>
      </c>
      <c r="C92" s="16">
        <f>((97012+78329+93159)/3)</f>
        <v>89500</v>
      </c>
      <c r="D92" s="16">
        <f t="shared" si="7"/>
        <v>25000</v>
      </c>
      <c r="E92" s="1">
        <f t="shared" si="8"/>
        <v>2.4912915519749852</v>
      </c>
    </row>
    <row r="93" spans="1:8" ht="30" x14ac:dyDescent="0.25">
      <c r="A93" s="13" t="s">
        <v>196</v>
      </c>
      <c r="B93" s="16">
        <v>93614</v>
      </c>
      <c r="C93" s="16">
        <f>((66971+68738+57194)/3)</f>
        <v>64301</v>
      </c>
      <c r="D93" s="16">
        <f t="shared" si="7"/>
        <v>29313</v>
      </c>
      <c r="E93" s="1">
        <f t="shared" si="8"/>
        <v>2.9210891705217095</v>
      </c>
    </row>
    <row r="94" spans="1:8" ht="30" x14ac:dyDescent="0.25">
      <c r="A94" s="13" t="s">
        <v>197</v>
      </c>
      <c r="B94" s="16">
        <v>116917</v>
      </c>
      <c r="C94" s="16">
        <f>((94263+109954+85997)/3)</f>
        <v>96738</v>
      </c>
      <c r="D94" s="16">
        <f t="shared" si="7"/>
        <v>20179</v>
      </c>
      <c r="E94" s="1">
        <f t="shared" si="8"/>
        <v>2.010870889092129</v>
      </c>
    </row>
    <row r="95" spans="1:8" ht="30" x14ac:dyDescent="0.25">
      <c r="A95" s="13" t="s">
        <v>198</v>
      </c>
      <c r="B95" s="16">
        <v>138020</v>
      </c>
      <c r="C95" s="16">
        <f>((90388+83557+105671)/3)</f>
        <v>93205.333333333328</v>
      </c>
      <c r="D95" s="16">
        <f t="shared" si="7"/>
        <v>44814.666666666672</v>
      </c>
      <c r="E95" s="1">
        <f t="shared" si="8"/>
        <v>4.4658560188496654</v>
      </c>
    </row>
    <row r="96" spans="1:8" ht="30" x14ac:dyDescent="0.25">
      <c r="A96" s="13" t="s">
        <v>199</v>
      </c>
      <c r="B96" s="16">
        <v>254775</v>
      </c>
      <c r="C96" s="16">
        <f>((157518+150690+97419)/3)</f>
        <v>135209</v>
      </c>
      <c r="D96" s="16">
        <f t="shared" si="7"/>
        <v>119566</v>
      </c>
      <c r="E96" s="1">
        <f t="shared" si="8"/>
        <v>11.914950628137642</v>
      </c>
    </row>
    <row r="97" spans="1:5" ht="30.75" thickBot="1" x14ac:dyDescent="0.3">
      <c r="A97" s="14" t="s">
        <v>200</v>
      </c>
      <c r="B97" s="2">
        <v>129136</v>
      </c>
      <c r="C97" s="2">
        <f>((74739+77134+119303)/3)</f>
        <v>90392</v>
      </c>
      <c r="D97" s="2">
        <f t="shared" si="7"/>
        <v>38744</v>
      </c>
      <c r="E97" s="3">
        <f t="shared" si="8"/>
        <v>3.8609039955887527</v>
      </c>
    </row>
  </sheetData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79C20A-5F0E-478F-9D6C-A4547F7FA1E6}">
  <dimension ref="A2:L97"/>
  <sheetViews>
    <sheetView zoomScale="90" zoomScaleNormal="90" workbookViewId="0">
      <selection activeCell="E97" sqref="E97"/>
    </sheetView>
  </sheetViews>
  <sheetFormatPr defaultColWidth="11.42578125" defaultRowHeight="15" x14ac:dyDescent="0.25"/>
  <cols>
    <col min="1" max="1" width="24.140625" bestFit="1" customWidth="1"/>
    <col min="2" max="2" width="15.7109375" customWidth="1"/>
    <col min="3" max="3" width="17.85546875" customWidth="1"/>
    <col min="4" max="4" width="19.7109375" customWidth="1"/>
    <col min="5" max="5" width="14.28515625" customWidth="1"/>
    <col min="6" max="6" width="9.85546875" customWidth="1"/>
    <col min="8" max="8" width="22.5703125" customWidth="1"/>
    <col min="9" max="9" width="15.85546875" customWidth="1"/>
    <col min="10" max="11" width="14.42578125" customWidth="1"/>
    <col min="12" max="12" width="14.28515625" customWidth="1"/>
  </cols>
  <sheetData>
    <row r="2" spans="1:12" ht="15.75" thickBot="1" x14ac:dyDescent="0.3"/>
    <row r="3" spans="1:12" ht="75.75" thickBot="1" x14ac:dyDescent="0.3">
      <c r="A3" s="10" t="s">
        <v>6</v>
      </c>
      <c r="B3" s="5" t="s">
        <v>0</v>
      </c>
      <c r="C3" s="5" t="s">
        <v>1</v>
      </c>
      <c r="D3" s="6" t="s">
        <v>4</v>
      </c>
      <c r="E3" s="6" t="s">
        <v>5</v>
      </c>
      <c r="H3" s="7"/>
      <c r="I3" s="8"/>
      <c r="J3" s="8"/>
      <c r="K3" s="8"/>
      <c r="L3" s="8"/>
    </row>
    <row r="4" spans="1:12" ht="30" x14ac:dyDescent="0.25">
      <c r="A4" s="11" t="s">
        <v>54</v>
      </c>
      <c r="B4" s="16">
        <v>61205</v>
      </c>
      <c r="C4" s="16">
        <f>((40125+57772+44402)/3)</f>
        <v>47433</v>
      </c>
      <c r="D4" s="16">
        <f>B4-C4</f>
        <v>13772</v>
      </c>
      <c r="E4" s="1">
        <f>D4/$I$7</f>
        <v>1.6196721140100308</v>
      </c>
      <c r="H4" s="7"/>
    </row>
    <row r="5" spans="1:12" ht="30" x14ac:dyDescent="0.25">
      <c r="A5" s="11" t="s">
        <v>55</v>
      </c>
      <c r="B5" s="16">
        <v>68621</v>
      </c>
      <c r="C5" s="16">
        <f>((46143+44317+52520)/3)</f>
        <v>47660</v>
      </c>
      <c r="D5" s="16">
        <f t="shared" ref="D5:D33" si="0">B5-C5</f>
        <v>20961</v>
      </c>
      <c r="E5" s="1">
        <f t="shared" ref="E5:E18" si="1">D5/$I$7</f>
        <v>2.4651428392219179</v>
      </c>
      <c r="H5" s="7"/>
    </row>
    <row r="6" spans="1:12" ht="30" x14ac:dyDescent="0.25">
      <c r="A6" s="11" t="s">
        <v>56</v>
      </c>
      <c r="B6" s="16">
        <v>6373</v>
      </c>
      <c r="C6" s="16">
        <f>((6606+5240+5042)/3)</f>
        <v>5629.333333333333</v>
      </c>
      <c r="D6" s="16">
        <f t="shared" si="0"/>
        <v>743.66666666666697</v>
      </c>
      <c r="E6" s="1">
        <f t="shared" si="1"/>
        <v>8.7459785225006775E-2</v>
      </c>
      <c r="H6" s="7"/>
    </row>
    <row r="7" spans="1:12" ht="30" x14ac:dyDescent="0.25">
      <c r="A7" s="11" t="s">
        <v>57</v>
      </c>
      <c r="B7" s="16">
        <v>112837</v>
      </c>
      <c r="C7" s="16">
        <f>((88979+131856+99915)/3)</f>
        <v>106916.66666666667</v>
      </c>
      <c r="D7" s="16">
        <f t="shared" si="0"/>
        <v>5920.3333333333285</v>
      </c>
      <c r="E7" s="1">
        <f t="shared" si="1"/>
        <v>0.69626770299477525</v>
      </c>
      <c r="H7" s="7" t="s">
        <v>235</v>
      </c>
      <c r="I7">
        <v>8502.9555555555544</v>
      </c>
    </row>
    <row r="8" spans="1:12" ht="30" x14ac:dyDescent="0.25">
      <c r="A8" s="11" t="s">
        <v>58</v>
      </c>
      <c r="B8" s="16">
        <v>101932</v>
      </c>
      <c r="C8" s="16">
        <f>((92528+88187+103101)/3)</f>
        <v>94605.333333333328</v>
      </c>
      <c r="D8" s="16">
        <f t="shared" si="0"/>
        <v>7326.6666666666715</v>
      </c>
      <c r="E8" s="1">
        <f t="shared" si="1"/>
        <v>0.86166117402315079</v>
      </c>
      <c r="H8" s="7"/>
    </row>
    <row r="9" spans="1:12" ht="30" x14ac:dyDescent="0.25">
      <c r="A9" s="11" t="s">
        <v>59</v>
      </c>
      <c r="B9" s="16">
        <v>120189</v>
      </c>
      <c r="C9" s="16">
        <f>((119796+101846+128078)/3)</f>
        <v>116573.33333333333</v>
      </c>
      <c r="D9" s="16">
        <f t="shared" si="0"/>
        <v>3615.6666666666715</v>
      </c>
      <c r="E9" s="1">
        <f t="shared" si="1"/>
        <v>0.4252246931132449</v>
      </c>
      <c r="H9" s="7" t="s">
        <v>236</v>
      </c>
      <c r="I9">
        <v>3750.1555555555556</v>
      </c>
    </row>
    <row r="10" spans="1:12" ht="30" x14ac:dyDescent="0.25">
      <c r="A10" s="11" t="s">
        <v>60</v>
      </c>
      <c r="B10" s="16">
        <v>42967</v>
      </c>
      <c r="C10" s="16">
        <f>((41366+36133+30796)/3)</f>
        <v>36098.333333333336</v>
      </c>
      <c r="D10" s="16">
        <f t="shared" si="0"/>
        <v>6868.6666666666642</v>
      </c>
      <c r="E10" s="1">
        <f t="shared" si="1"/>
        <v>0.80779755013289478</v>
      </c>
      <c r="H10" s="7"/>
    </row>
    <row r="11" spans="1:12" ht="30" x14ac:dyDescent="0.25">
      <c r="A11" s="11" t="s">
        <v>61</v>
      </c>
      <c r="B11" s="16">
        <v>47172</v>
      </c>
      <c r="C11" s="16">
        <f>((29785+26946+32442)/3)</f>
        <v>29724.333333333332</v>
      </c>
      <c r="D11" s="16">
        <f t="shared" si="0"/>
        <v>17447.666666666668</v>
      </c>
      <c r="E11" s="1">
        <f t="shared" si="1"/>
        <v>2.0519531770652302</v>
      </c>
      <c r="H11" s="7" t="s">
        <v>236</v>
      </c>
      <c r="I11">
        <v>10034.955555555556</v>
      </c>
    </row>
    <row r="12" spans="1:12" ht="30" x14ac:dyDescent="0.25">
      <c r="A12" s="11" t="s">
        <v>62</v>
      </c>
      <c r="B12" s="16">
        <v>47459</v>
      </c>
      <c r="C12" s="16">
        <f>((49943+43501+39317)/3)</f>
        <v>44253.666666666664</v>
      </c>
      <c r="D12" s="16">
        <f t="shared" si="0"/>
        <v>3205.3333333333358</v>
      </c>
      <c r="E12" s="1">
        <f t="shared" si="1"/>
        <v>0.37696696312132022</v>
      </c>
      <c r="H12" s="7"/>
    </row>
    <row r="13" spans="1:12" ht="30" x14ac:dyDescent="0.25">
      <c r="A13" s="11" t="s">
        <v>63</v>
      </c>
      <c r="B13" s="16">
        <v>57191</v>
      </c>
      <c r="C13" s="16">
        <f>((43370+49995+55273)/3)</f>
        <v>49546</v>
      </c>
      <c r="D13" s="16">
        <f t="shared" si="0"/>
        <v>7645</v>
      </c>
      <c r="E13" s="1">
        <f t="shared" si="1"/>
        <v>0.89909913677074393</v>
      </c>
      <c r="H13" s="7"/>
    </row>
    <row r="14" spans="1:12" ht="30" x14ac:dyDescent="0.25">
      <c r="A14" s="11" t="s">
        <v>64</v>
      </c>
      <c r="B14" s="16">
        <v>56145</v>
      </c>
      <c r="C14" s="16">
        <f>((29637+42483+53491)/3)</f>
        <v>41870.333333333336</v>
      </c>
      <c r="D14" s="16">
        <f t="shared" si="0"/>
        <v>14274.666666666664</v>
      </c>
      <c r="E14" s="1">
        <f t="shared" si="1"/>
        <v>1.6787888133015185</v>
      </c>
      <c r="H14" s="7"/>
    </row>
    <row r="15" spans="1:12" ht="30" x14ac:dyDescent="0.25">
      <c r="A15" s="11" t="s">
        <v>65</v>
      </c>
      <c r="B15" s="16">
        <v>23095</v>
      </c>
      <c r="C15" s="16">
        <f>((17781+16835+23028)/3)</f>
        <v>19214.666666666668</v>
      </c>
      <c r="D15" s="16">
        <f t="shared" si="0"/>
        <v>3880.3333333333321</v>
      </c>
      <c r="E15" s="1">
        <f t="shared" si="1"/>
        <v>0.45635112496831159</v>
      </c>
      <c r="H15" s="7"/>
    </row>
    <row r="16" spans="1:12" ht="30" x14ac:dyDescent="0.25">
      <c r="A16" s="11" t="s">
        <v>66</v>
      </c>
      <c r="B16" s="16">
        <v>77038</v>
      </c>
      <c r="C16" s="16">
        <f>((33990+60237+51928)/3)</f>
        <v>48718.333333333336</v>
      </c>
      <c r="D16" s="16">
        <f t="shared" si="0"/>
        <v>28319.666666666664</v>
      </c>
      <c r="E16" s="1">
        <f t="shared" si="1"/>
        <v>3.3305674105474439</v>
      </c>
      <c r="H16" s="7"/>
    </row>
    <row r="17" spans="1:8" ht="30" x14ac:dyDescent="0.25">
      <c r="A17" s="11" t="s">
        <v>67</v>
      </c>
      <c r="B17" s="16">
        <v>120668</v>
      </c>
      <c r="C17" s="16">
        <f>((78774+115761+80151)/3)</f>
        <v>91562</v>
      </c>
      <c r="D17" s="16">
        <f t="shared" si="0"/>
        <v>29106</v>
      </c>
      <c r="E17" s="1">
        <f t="shared" si="1"/>
        <v>3.4230450588422854</v>
      </c>
      <c r="H17" s="7"/>
    </row>
    <row r="18" spans="1:8" ht="30" x14ac:dyDescent="0.25">
      <c r="A18" s="11" t="s">
        <v>68</v>
      </c>
      <c r="B18" s="16">
        <v>60763</v>
      </c>
      <c r="C18" s="16">
        <f>((44560+68930+66378)/3)</f>
        <v>59956</v>
      </c>
      <c r="D18" s="16">
        <f t="shared" si="0"/>
        <v>807</v>
      </c>
      <c r="E18" s="1">
        <f t="shared" si="1"/>
        <v>9.4908175719292387E-2</v>
      </c>
      <c r="H18" s="7"/>
    </row>
    <row r="19" spans="1:8" ht="30" x14ac:dyDescent="0.25">
      <c r="A19" s="12" t="s">
        <v>141</v>
      </c>
      <c r="B19" s="16">
        <v>52938</v>
      </c>
      <c r="C19" s="16">
        <f>((59318+52378+40667)/3)</f>
        <v>50787.666666666664</v>
      </c>
      <c r="D19" s="16">
        <f t="shared" si="0"/>
        <v>2150.3333333333358</v>
      </c>
      <c r="E19" s="1">
        <f>D19/$I$9</f>
        <v>0.573398436805585</v>
      </c>
      <c r="H19" s="7"/>
    </row>
    <row r="20" spans="1:8" ht="30" x14ac:dyDescent="0.25">
      <c r="A20" s="12" t="s">
        <v>142</v>
      </c>
      <c r="B20" s="16">
        <v>63773</v>
      </c>
      <c r="C20" s="16">
        <f>((46243+44183+68695)/3)</f>
        <v>53040.333333333336</v>
      </c>
      <c r="D20" s="16">
        <f t="shared" si="0"/>
        <v>10732.666666666664</v>
      </c>
      <c r="E20" s="1">
        <f t="shared" ref="E20:E33" si="2">D20/$I$9</f>
        <v>2.8619257275253762</v>
      </c>
      <c r="H20" s="7"/>
    </row>
    <row r="21" spans="1:8" ht="30" x14ac:dyDescent="0.25">
      <c r="A21" s="12" t="s">
        <v>143</v>
      </c>
      <c r="B21" s="16">
        <v>64069</v>
      </c>
      <c r="C21" s="16">
        <f>((68492+51607+57060)/3)</f>
        <v>59053</v>
      </c>
      <c r="D21" s="16">
        <f t="shared" si="0"/>
        <v>5016</v>
      </c>
      <c r="E21" s="1">
        <f t="shared" si="2"/>
        <v>1.3375445166719011</v>
      </c>
      <c r="H21" s="7"/>
    </row>
    <row r="22" spans="1:8" ht="30" x14ac:dyDescent="0.25">
      <c r="A22" s="12" t="s">
        <v>144</v>
      </c>
      <c r="B22" s="16">
        <v>67829</v>
      </c>
      <c r="C22" s="16">
        <f>((49046+38608+69310)/3)</f>
        <v>52321.333333333336</v>
      </c>
      <c r="D22" s="16">
        <f t="shared" si="0"/>
        <v>15507.666666666664</v>
      </c>
      <c r="E22" s="1">
        <f t="shared" si="2"/>
        <v>4.1352062432965733</v>
      </c>
      <c r="H22" s="7"/>
    </row>
    <row r="23" spans="1:8" ht="30" x14ac:dyDescent="0.25">
      <c r="A23" s="12" t="s">
        <v>145</v>
      </c>
      <c r="B23" s="16">
        <v>61998</v>
      </c>
      <c r="C23" s="16">
        <f>((40353+36021+36061)/3)</f>
        <v>37478.333333333336</v>
      </c>
      <c r="D23" s="16">
        <f t="shared" si="0"/>
        <v>24519.666666666664</v>
      </c>
      <c r="E23" s="1">
        <f t="shared" si="2"/>
        <v>6.5383065591353242</v>
      </c>
      <c r="H23" s="7"/>
    </row>
    <row r="24" spans="1:8" ht="30" x14ac:dyDescent="0.25">
      <c r="A24" s="12" t="s">
        <v>146</v>
      </c>
      <c r="B24" s="16">
        <v>80112</v>
      </c>
      <c r="C24" s="16">
        <f>((62800+62029+69347)/3)</f>
        <v>64725.333333333336</v>
      </c>
      <c r="D24" s="16">
        <f t="shared" si="0"/>
        <v>15386.666666666664</v>
      </c>
      <c r="E24" s="1">
        <f t="shared" si="2"/>
        <v>4.1029409150435239</v>
      </c>
      <c r="H24" s="7"/>
    </row>
    <row r="25" spans="1:8" ht="30" x14ac:dyDescent="0.25">
      <c r="A25" s="12" t="s">
        <v>147</v>
      </c>
      <c r="B25" s="16">
        <v>31434</v>
      </c>
      <c r="C25" s="16">
        <f>((20525+23913+28305)/3)</f>
        <v>24247.666666666668</v>
      </c>
      <c r="D25" s="16">
        <f t="shared" si="0"/>
        <v>7186.3333333333321</v>
      </c>
      <c r="E25" s="1">
        <f t="shared" si="2"/>
        <v>1.9162760655854272</v>
      </c>
      <c r="H25" s="7"/>
    </row>
    <row r="26" spans="1:8" ht="30" x14ac:dyDescent="0.25">
      <c r="A26" s="12" t="s">
        <v>148</v>
      </c>
      <c r="B26" s="16">
        <v>35763</v>
      </c>
      <c r="C26" s="16">
        <f>((20197+28408+26376)/3)</f>
        <v>24993.666666666668</v>
      </c>
      <c r="D26" s="16">
        <f t="shared" si="0"/>
        <v>10769.333333333332</v>
      </c>
      <c r="E26" s="1">
        <f t="shared" si="2"/>
        <v>2.8717030997232702</v>
      </c>
      <c r="H26" s="7"/>
    </row>
    <row r="27" spans="1:8" ht="30" x14ac:dyDescent="0.25">
      <c r="A27" s="12" t="s">
        <v>149</v>
      </c>
      <c r="B27" s="16">
        <v>45583</v>
      </c>
      <c r="C27" s="16">
        <f>((28120+36126+36291)/3)</f>
        <v>33512.333333333336</v>
      </c>
      <c r="D27" s="16">
        <f t="shared" si="0"/>
        <v>12070.666666666664</v>
      </c>
      <c r="E27" s="1">
        <f t="shared" si="2"/>
        <v>3.2187109275467085</v>
      </c>
      <c r="H27" s="7"/>
    </row>
    <row r="28" spans="1:8" ht="30" x14ac:dyDescent="0.25">
      <c r="A28" s="12" t="s">
        <v>150</v>
      </c>
      <c r="B28" s="16">
        <v>37368</v>
      </c>
      <c r="C28" s="16">
        <f>((35813+40178+26741)/3)</f>
        <v>34244</v>
      </c>
      <c r="D28" s="16">
        <f t="shared" si="0"/>
        <v>3124</v>
      </c>
      <c r="E28" s="1">
        <f t="shared" si="2"/>
        <v>0.83303211126056997</v>
      </c>
      <c r="H28" s="7"/>
    </row>
    <row r="29" spans="1:8" ht="30" x14ac:dyDescent="0.25">
      <c r="A29" s="12" t="s">
        <v>151</v>
      </c>
      <c r="B29" s="16">
        <v>36520</v>
      </c>
      <c r="C29" s="16">
        <f>((15058+23696+22097)/3)</f>
        <v>20283.666666666668</v>
      </c>
      <c r="D29" s="16">
        <f t="shared" si="0"/>
        <v>16236.333333333332</v>
      </c>
      <c r="E29" s="1">
        <f t="shared" si="2"/>
        <v>4.3295092944292675</v>
      </c>
      <c r="H29" s="7"/>
    </row>
    <row r="30" spans="1:8" ht="30" x14ac:dyDescent="0.25">
      <c r="A30" s="12" t="s">
        <v>152</v>
      </c>
      <c r="B30" s="16">
        <v>80210</v>
      </c>
      <c r="C30" s="16">
        <f>((52574+52283+45754)/3)</f>
        <v>50203.666666666664</v>
      </c>
      <c r="D30" s="16">
        <f t="shared" si="0"/>
        <v>30006.333333333336</v>
      </c>
      <c r="E30" s="1">
        <f t="shared" si="2"/>
        <v>8.0013569807474667</v>
      </c>
      <c r="H30" s="7"/>
    </row>
    <row r="31" spans="1:8" ht="30" x14ac:dyDescent="0.25">
      <c r="A31" s="12" t="s">
        <v>153</v>
      </c>
      <c r="B31" s="16">
        <v>80829</v>
      </c>
      <c r="C31" s="16">
        <f>((107428+68595+47404)/3)</f>
        <v>74475.666666666672</v>
      </c>
      <c r="D31" s="16">
        <f t="shared" si="0"/>
        <v>6353.3333333333285</v>
      </c>
      <c r="E31" s="1">
        <f t="shared" si="2"/>
        <v>1.6941519462896342</v>
      </c>
      <c r="H31" s="7"/>
    </row>
    <row r="32" spans="1:8" ht="30" x14ac:dyDescent="0.25">
      <c r="A32" s="12" t="s">
        <v>154</v>
      </c>
      <c r="B32" s="16">
        <v>38964</v>
      </c>
      <c r="C32" s="16">
        <f>((31662+42593+26971)/3)</f>
        <v>33742</v>
      </c>
      <c r="D32" s="16">
        <f t="shared" si="0"/>
        <v>5222</v>
      </c>
      <c r="E32" s="1">
        <f t="shared" si="2"/>
        <v>1.3924755713837056</v>
      </c>
      <c r="H32" s="7"/>
    </row>
    <row r="33" spans="1:8" ht="30" x14ac:dyDescent="0.25">
      <c r="A33" s="12" t="s">
        <v>155</v>
      </c>
      <c r="B33" s="16">
        <v>35691</v>
      </c>
      <c r="C33" s="16">
        <f>((24233+17382+19038)/3)</f>
        <v>20217.666666666668</v>
      </c>
      <c r="D33" s="16">
        <f t="shared" si="0"/>
        <v>15473.333333333332</v>
      </c>
      <c r="E33" s="1">
        <f t="shared" si="2"/>
        <v>4.1260510675112734</v>
      </c>
      <c r="H33" s="7"/>
    </row>
    <row r="34" spans="1:8" ht="30" x14ac:dyDescent="0.25">
      <c r="A34" s="13" t="s">
        <v>186</v>
      </c>
      <c r="B34" s="16">
        <v>120240</v>
      </c>
      <c r="C34" s="16">
        <f>((69202+69441+88747)/3)</f>
        <v>75796.666666666672</v>
      </c>
      <c r="D34" s="16">
        <f>B34-C34</f>
        <v>44443.333333333328</v>
      </c>
      <c r="E34" s="15">
        <f>D34/$I$11</f>
        <v>4.4288520349976626</v>
      </c>
      <c r="H34" s="7"/>
    </row>
    <row r="35" spans="1:8" ht="30" x14ac:dyDescent="0.25">
      <c r="A35" s="13" t="s">
        <v>231</v>
      </c>
      <c r="B35" s="16">
        <v>46621</v>
      </c>
      <c r="C35" s="16">
        <f>((22683+23308+28333)/3)</f>
        <v>24774.666666666668</v>
      </c>
      <c r="D35" s="16">
        <f t="shared" ref="D35:D48" si="3">B35-C35</f>
        <v>21846.333333333332</v>
      </c>
      <c r="E35" s="15">
        <f t="shared" ref="E35:E48" si="4">D35/$I$11</f>
        <v>2.177023426998514</v>
      </c>
      <c r="H35" s="7"/>
    </row>
    <row r="36" spans="1:8" ht="30" x14ac:dyDescent="0.25">
      <c r="A36" s="13" t="s">
        <v>232</v>
      </c>
      <c r="B36" s="16">
        <v>87578</v>
      </c>
      <c r="C36" s="16">
        <f>((46810+44659+55981)/3)</f>
        <v>49150</v>
      </c>
      <c r="D36" s="16">
        <f t="shared" si="3"/>
        <v>38428</v>
      </c>
      <c r="E36" s="15">
        <f t="shared" si="4"/>
        <v>3.8294140703717892</v>
      </c>
      <c r="H36" s="7"/>
    </row>
    <row r="37" spans="1:8" ht="30" x14ac:dyDescent="0.25">
      <c r="A37" s="13" t="s">
        <v>233</v>
      </c>
      <c r="B37" s="16">
        <v>33326</v>
      </c>
      <c r="C37" s="16">
        <f>((24287+27990+26790)/3)</f>
        <v>26355.666666666668</v>
      </c>
      <c r="D37" s="16">
        <f t="shared" si="3"/>
        <v>6970.3333333333321</v>
      </c>
      <c r="E37" s="15">
        <f t="shared" si="4"/>
        <v>0.69460530191131875</v>
      </c>
      <c r="H37" s="7"/>
    </row>
    <row r="38" spans="1:8" ht="30" x14ac:dyDescent="0.25">
      <c r="A38" s="13" t="s">
        <v>234</v>
      </c>
      <c r="B38" s="16">
        <v>70167</v>
      </c>
      <c r="C38" s="16">
        <f>((50473+59811+66039)/3)</f>
        <v>58774.333333333336</v>
      </c>
      <c r="D38" s="16">
        <f t="shared" si="3"/>
        <v>11392.666666666664</v>
      </c>
      <c r="E38" s="15">
        <f t="shared" si="4"/>
        <v>1.135298168845347</v>
      </c>
      <c r="H38" s="7"/>
    </row>
    <row r="39" spans="1:8" ht="30" x14ac:dyDescent="0.25">
      <c r="A39" s="13" t="s">
        <v>237</v>
      </c>
      <c r="B39" s="16">
        <v>87618</v>
      </c>
      <c r="C39" s="16">
        <f>((61379+65851+65399)/3)</f>
        <v>64209.666666666664</v>
      </c>
      <c r="D39" s="16">
        <f t="shared" si="3"/>
        <v>23408.333333333336</v>
      </c>
      <c r="E39" s="15">
        <f t="shared" si="4"/>
        <v>2.3326793231659111</v>
      </c>
      <c r="H39" s="7"/>
    </row>
    <row r="40" spans="1:8" ht="30" x14ac:dyDescent="0.25">
      <c r="A40" s="13" t="s">
        <v>238</v>
      </c>
      <c r="B40" s="16">
        <v>61948</v>
      </c>
      <c r="C40" s="16">
        <f>((38666+49678+49047)/3)</f>
        <v>45797</v>
      </c>
      <c r="D40" s="16">
        <f t="shared" si="3"/>
        <v>16151</v>
      </c>
      <c r="E40" s="15">
        <f t="shared" si="4"/>
        <v>1.6094739942379193</v>
      </c>
      <c r="H40" s="7"/>
    </row>
    <row r="41" spans="1:8" ht="30" x14ac:dyDescent="0.25">
      <c r="A41" s="13" t="s">
        <v>239</v>
      </c>
      <c r="B41" s="16">
        <v>35446</v>
      </c>
      <c r="C41" s="16">
        <f>((25562+16978+23882)/3)</f>
        <v>22140.666666666668</v>
      </c>
      <c r="D41" s="16">
        <f t="shared" si="3"/>
        <v>13305.333333333332</v>
      </c>
      <c r="E41" s="15">
        <f t="shared" si="4"/>
        <v>1.3258985811817798</v>
      </c>
      <c r="H41" s="7"/>
    </row>
    <row r="42" spans="1:8" ht="30" x14ac:dyDescent="0.25">
      <c r="A42" s="13" t="s">
        <v>240</v>
      </c>
      <c r="B42" s="16">
        <v>68361</v>
      </c>
      <c r="C42" s="16">
        <f>((44259+39852+42323)/3)</f>
        <v>42144.666666666664</v>
      </c>
      <c r="D42" s="16">
        <f t="shared" si="3"/>
        <v>26216.333333333336</v>
      </c>
      <c r="E42" s="15">
        <f t="shared" si="4"/>
        <v>2.6125011902837416</v>
      </c>
      <c r="H42" s="7"/>
    </row>
    <row r="43" spans="1:8" ht="30" x14ac:dyDescent="0.25">
      <c r="A43" s="13" t="s">
        <v>241</v>
      </c>
      <c r="B43" s="16">
        <v>60213</v>
      </c>
      <c r="C43" s="16">
        <f>((42649+40295+51055)/3)</f>
        <v>44666.333333333336</v>
      </c>
      <c r="D43" s="16">
        <f t="shared" si="3"/>
        <v>15546.666666666664</v>
      </c>
      <c r="E43" s="15">
        <f t="shared" si="4"/>
        <v>1.5492511731215104</v>
      </c>
      <c r="H43" s="7"/>
    </row>
    <row r="44" spans="1:8" ht="30" x14ac:dyDescent="0.25">
      <c r="A44" s="13" t="s">
        <v>242</v>
      </c>
      <c r="B44" s="16">
        <v>73172</v>
      </c>
      <c r="C44" s="16">
        <f>((50518+48538+55434)/3)</f>
        <v>51496.666666666664</v>
      </c>
      <c r="D44" s="16">
        <f t="shared" si="3"/>
        <v>21675.333333333336</v>
      </c>
      <c r="E44" s="15">
        <f t="shared" si="4"/>
        <v>2.1599829927830054</v>
      </c>
      <c r="H44" s="7"/>
    </row>
    <row r="45" spans="1:8" ht="30" x14ac:dyDescent="0.25">
      <c r="A45" s="13" t="s">
        <v>243</v>
      </c>
      <c r="B45" s="16">
        <v>64912</v>
      </c>
      <c r="C45" s="16">
        <f>((40610+43905+45765)/3)</f>
        <v>43426.666666666664</v>
      </c>
      <c r="D45" s="16">
        <f t="shared" si="3"/>
        <v>21485.333333333336</v>
      </c>
      <c r="E45" s="15">
        <f t="shared" si="4"/>
        <v>2.1410491769879956</v>
      </c>
      <c r="H45" s="7"/>
    </row>
    <row r="46" spans="1:8" ht="30" x14ac:dyDescent="0.25">
      <c r="A46" s="13" t="s">
        <v>244</v>
      </c>
      <c r="B46" s="16">
        <v>56751</v>
      </c>
      <c r="C46" s="16">
        <f>((41202+47209+44788)/3)</f>
        <v>44399.666666666664</v>
      </c>
      <c r="D46" s="16">
        <f t="shared" si="3"/>
        <v>12351.333333333336</v>
      </c>
      <c r="E46" s="15">
        <f t="shared" si="4"/>
        <v>1.2308308955584149</v>
      </c>
      <c r="H46" s="7"/>
    </row>
    <row r="47" spans="1:8" ht="30" x14ac:dyDescent="0.25">
      <c r="A47" s="13" t="s">
        <v>245</v>
      </c>
      <c r="B47" s="16">
        <v>96333</v>
      </c>
      <c r="C47" s="16">
        <f>((61265+65286+60474)/3)</f>
        <v>62341.666666666664</v>
      </c>
      <c r="D47" s="16">
        <f t="shared" si="3"/>
        <v>33991.333333333336</v>
      </c>
      <c r="E47" s="15">
        <f t="shared" si="4"/>
        <v>3.3872928629479619</v>
      </c>
      <c r="H47" s="7"/>
    </row>
    <row r="48" spans="1:8" ht="30.75" thickBot="1" x14ac:dyDescent="0.3">
      <c r="A48" s="14" t="s">
        <v>246</v>
      </c>
      <c r="B48" s="2">
        <v>90133</v>
      </c>
      <c r="C48" s="2">
        <f>((73010+65914+73317)/3)</f>
        <v>70747</v>
      </c>
      <c r="D48" s="2">
        <f t="shared" si="3"/>
        <v>19386</v>
      </c>
      <c r="E48" s="17">
        <f t="shared" si="4"/>
        <v>1.9318471210634824</v>
      </c>
      <c r="H48" s="7"/>
    </row>
    <row r="51" spans="1:12" ht="15.75" thickBot="1" x14ac:dyDescent="0.3"/>
    <row r="52" spans="1:12" ht="75.75" thickBot="1" x14ac:dyDescent="0.3">
      <c r="A52" s="10" t="s">
        <v>7</v>
      </c>
      <c r="B52" s="5" t="s">
        <v>0</v>
      </c>
      <c r="C52" s="5" t="s">
        <v>1</v>
      </c>
      <c r="D52" s="6" t="s">
        <v>4</v>
      </c>
      <c r="E52" s="6" t="s">
        <v>5</v>
      </c>
      <c r="H52" s="7"/>
      <c r="I52" s="8"/>
      <c r="J52" s="8"/>
      <c r="K52" s="8"/>
      <c r="L52" s="8"/>
    </row>
    <row r="53" spans="1:12" ht="30" x14ac:dyDescent="0.25">
      <c r="A53" s="11" t="s">
        <v>40</v>
      </c>
      <c r="B53" s="16">
        <v>88124</v>
      </c>
      <c r="C53" s="16">
        <f>((37696+54432+54904)/3)</f>
        <v>49010.666666666664</v>
      </c>
      <c r="D53" s="16">
        <f>B53-C53</f>
        <v>39113.333333333336</v>
      </c>
      <c r="E53" s="1">
        <f>D53/$I$7</f>
        <v>4.5999691610498843</v>
      </c>
      <c r="H53" s="7"/>
    </row>
    <row r="54" spans="1:12" ht="30" x14ac:dyDescent="0.25">
      <c r="A54" s="11" t="s">
        <v>41</v>
      </c>
      <c r="B54" s="16">
        <v>79753</v>
      </c>
      <c r="C54" s="16">
        <f>((35905+56031+68290)/3)</f>
        <v>53408.666666666664</v>
      </c>
      <c r="D54" s="16">
        <f t="shared" ref="D54:D82" si="5">B54-C54</f>
        <v>26344.333333333336</v>
      </c>
      <c r="E54" s="1">
        <f t="shared" ref="E54:E67" si="6">D54/$I$7</f>
        <v>3.0982560312361982</v>
      </c>
      <c r="H54" s="7"/>
    </row>
    <row r="55" spans="1:12" ht="30" x14ac:dyDescent="0.25">
      <c r="A55" s="11" t="s">
        <v>42</v>
      </c>
      <c r="B55" s="16">
        <v>116993</v>
      </c>
      <c r="C55" s="16">
        <f>((78268+77720+73517)/3)</f>
        <v>76501.666666666672</v>
      </c>
      <c r="D55" s="16">
        <f t="shared" si="5"/>
        <v>40491.333333333328</v>
      </c>
      <c r="E55" s="1">
        <f t="shared" si="6"/>
        <v>4.762030457383446</v>
      </c>
      <c r="H55" s="7"/>
    </row>
    <row r="56" spans="1:12" ht="30" x14ac:dyDescent="0.25">
      <c r="A56" s="11" t="s">
        <v>43</v>
      </c>
      <c r="B56" s="16">
        <v>94784</v>
      </c>
      <c r="C56" s="16">
        <f>((131941+112234+35897)/3)</f>
        <v>93357.333333333328</v>
      </c>
      <c r="D56" s="16">
        <f t="shared" si="5"/>
        <v>1426.6666666666715</v>
      </c>
      <c r="E56" s="1">
        <f t="shared" si="6"/>
        <v>0.16778479639759306</v>
      </c>
      <c r="H56" s="7"/>
    </row>
    <row r="57" spans="1:12" ht="30" x14ac:dyDescent="0.25">
      <c r="A57" s="11" t="s">
        <v>44</v>
      </c>
      <c r="B57" s="16">
        <v>113598</v>
      </c>
      <c r="C57" s="16">
        <f>((82375+95607+86590)/3)</f>
        <v>88190.666666666672</v>
      </c>
      <c r="D57" s="16">
        <f t="shared" si="5"/>
        <v>25407.333333333328</v>
      </c>
      <c r="E57" s="1">
        <f t="shared" si="6"/>
        <v>2.988059053976003</v>
      </c>
      <c r="H57" s="7"/>
    </row>
    <row r="58" spans="1:12" ht="30" x14ac:dyDescent="0.25">
      <c r="A58" s="11" t="s">
        <v>45</v>
      </c>
      <c r="B58" s="16">
        <v>101054</v>
      </c>
      <c r="C58" s="16">
        <f>((93811+93037+78958)/3)</f>
        <v>88602</v>
      </c>
      <c r="D58" s="16">
        <f t="shared" si="5"/>
        <v>12452</v>
      </c>
      <c r="E58" s="1">
        <f t="shared" si="6"/>
        <v>1.4644319752870245</v>
      </c>
      <c r="H58" s="7"/>
    </row>
    <row r="59" spans="1:12" ht="30" x14ac:dyDescent="0.25">
      <c r="A59" s="11" t="s">
        <v>46</v>
      </c>
      <c r="B59" s="16">
        <v>99912</v>
      </c>
      <c r="C59" s="16">
        <f>((59250+52501+47812)/3)</f>
        <v>53187.666666666664</v>
      </c>
      <c r="D59" s="16">
        <f t="shared" si="5"/>
        <v>46724.333333333336</v>
      </c>
      <c r="E59" s="1">
        <f t="shared" si="6"/>
        <v>5.4950696881868542</v>
      </c>
      <c r="H59" s="7"/>
    </row>
    <row r="60" spans="1:12" ht="30" x14ac:dyDescent="0.25">
      <c r="A60" s="11" t="s">
        <v>32</v>
      </c>
      <c r="B60" s="16">
        <v>115431</v>
      </c>
      <c r="C60" s="16">
        <f>((85148+65467+63835)/3)</f>
        <v>71483.333333333328</v>
      </c>
      <c r="D60" s="16">
        <f t="shared" si="5"/>
        <v>43947.666666666672</v>
      </c>
      <c r="E60" s="1">
        <f t="shared" si="6"/>
        <v>5.1685165680952778</v>
      </c>
      <c r="H60" s="7"/>
    </row>
    <row r="61" spans="1:12" ht="30" x14ac:dyDescent="0.25">
      <c r="A61" s="11" t="s">
        <v>47</v>
      </c>
      <c r="B61" s="16">
        <v>117748</v>
      </c>
      <c r="C61" s="16">
        <f>((93687+44172+74751)/3)</f>
        <v>70870</v>
      </c>
      <c r="D61" s="16">
        <f t="shared" si="5"/>
        <v>46878</v>
      </c>
      <c r="E61" s="1">
        <f t="shared" si="6"/>
        <v>5.5131418356493045</v>
      </c>
      <c r="H61" s="7"/>
    </row>
    <row r="62" spans="1:12" ht="30" x14ac:dyDescent="0.25">
      <c r="A62" s="11" t="s">
        <v>48</v>
      </c>
      <c r="B62" s="16">
        <v>62605</v>
      </c>
      <c r="C62" s="16">
        <f>((12563+36511+48477)/3)</f>
        <v>32517</v>
      </c>
      <c r="D62" s="16">
        <f t="shared" si="5"/>
        <v>30088</v>
      </c>
      <c r="E62" s="1">
        <f t="shared" si="6"/>
        <v>3.5385343135589462</v>
      </c>
      <c r="H62" s="7"/>
    </row>
    <row r="63" spans="1:12" ht="30" x14ac:dyDescent="0.25">
      <c r="A63" s="11" t="s">
        <v>49</v>
      </c>
      <c r="B63" s="16">
        <v>49920</v>
      </c>
      <c r="C63" s="16">
        <f>((30961+32209+31694)/3)</f>
        <v>31621.333333333332</v>
      </c>
      <c r="D63" s="16">
        <f t="shared" si="5"/>
        <v>18298.666666666668</v>
      </c>
      <c r="E63" s="1">
        <f t="shared" si="6"/>
        <v>2.1520360240752892</v>
      </c>
      <c r="H63" s="7"/>
    </row>
    <row r="64" spans="1:12" ht="30" x14ac:dyDescent="0.25">
      <c r="A64" s="11" t="s">
        <v>50</v>
      </c>
      <c r="B64" s="16">
        <v>57056</v>
      </c>
      <c r="C64" s="16">
        <f>((42146+43581+29668)/3)</f>
        <v>38465</v>
      </c>
      <c r="D64" s="16">
        <f t="shared" si="5"/>
        <v>18591</v>
      </c>
      <c r="E64" s="1">
        <f t="shared" si="6"/>
        <v>2.1864162265147025</v>
      </c>
      <c r="H64" s="7"/>
    </row>
    <row r="65" spans="1:8" ht="30" x14ac:dyDescent="0.25">
      <c r="A65" s="11" t="s">
        <v>51</v>
      </c>
      <c r="B65" s="16">
        <v>87713</v>
      </c>
      <c r="C65" s="16">
        <f>((40197+52355+35362)/3)</f>
        <v>42638</v>
      </c>
      <c r="D65" s="16">
        <f t="shared" si="5"/>
        <v>45075</v>
      </c>
      <c r="E65" s="1">
        <f t="shared" si="6"/>
        <v>5.3010979188935616</v>
      </c>
      <c r="H65" s="7"/>
    </row>
    <row r="66" spans="1:8" ht="30" x14ac:dyDescent="0.25">
      <c r="A66" s="11" t="s">
        <v>52</v>
      </c>
      <c r="B66" s="16">
        <v>102929</v>
      </c>
      <c r="C66" s="16">
        <f>((83905+75852+65687)/3)</f>
        <v>75148</v>
      </c>
      <c r="D66" s="16">
        <f t="shared" si="5"/>
        <v>27781</v>
      </c>
      <c r="E66" s="1">
        <f t="shared" si="6"/>
        <v>3.2672168892907831</v>
      </c>
      <c r="H66" s="7"/>
    </row>
    <row r="67" spans="1:8" ht="30" x14ac:dyDescent="0.25">
      <c r="A67" s="11" t="s">
        <v>53</v>
      </c>
      <c r="B67" s="16">
        <v>44453</v>
      </c>
      <c r="C67" s="16">
        <f>((34356+25860+21860)/3)</f>
        <v>27358.666666666668</v>
      </c>
      <c r="D67" s="16">
        <f t="shared" si="5"/>
        <v>17094.333333333332</v>
      </c>
      <c r="E67" s="1">
        <f t="shared" si="6"/>
        <v>2.0103989985181623</v>
      </c>
      <c r="H67" s="7"/>
    </row>
    <row r="68" spans="1:8" ht="30" x14ac:dyDescent="0.25">
      <c r="A68" s="12" t="s">
        <v>127</v>
      </c>
      <c r="B68" s="16">
        <v>93788</v>
      </c>
      <c r="C68" s="16">
        <f>((35248+44054+66795)/3)</f>
        <v>48699</v>
      </c>
      <c r="D68" s="16">
        <f t="shared" si="5"/>
        <v>45089</v>
      </c>
      <c r="E68" s="1">
        <f>D68/$I$9</f>
        <v>12.023234591750269</v>
      </c>
      <c r="H68" s="7"/>
    </row>
    <row r="69" spans="1:8" ht="30" x14ac:dyDescent="0.25">
      <c r="A69" s="12" t="s">
        <v>128</v>
      </c>
      <c r="B69" s="16">
        <v>53235</v>
      </c>
      <c r="C69" s="16">
        <f>((24103+43091+25935)/3)</f>
        <v>31043</v>
      </c>
      <c r="D69" s="16">
        <f t="shared" si="5"/>
        <v>22192</v>
      </c>
      <c r="E69" s="1">
        <f t="shared" ref="E69:E82" si="7">D69/$I$9</f>
        <v>5.9176211949726527</v>
      </c>
      <c r="H69" s="7"/>
    </row>
    <row r="70" spans="1:8" ht="30" x14ac:dyDescent="0.25">
      <c r="A70" s="12" t="s">
        <v>129</v>
      </c>
      <c r="B70" s="16">
        <v>60441</v>
      </c>
      <c r="C70" s="16">
        <f>((38375+46185+32545)/3)</f>
        <v>39035</v>
      </c>
      <c r="D70" s="16">
        <f t="shared" si="5"/>
        <v>21406</v>
      </c>
      <c r="E70" s="1">
        <f t="shared" si="7"/>
        <v>5.7080298891305246</v>
      </c>
      <c r="H70" s="7"/>
    </row>
    <row r="71" spans="1:8" ht="30" x14ac:dyDescent="0.25">
      <c r="A71" s="12" t="s">
        <v>130</v>
      </c>
      <c r="B71" s="16">
        <v>46636</v>
      </c>
      <c r="C71" s="16">
        <f>((31622+31871+48211)/3)</f>
        <v>37234.666666666664</v>
      </c>
      <c r="D71" s="16">
        <f t="shared" si="5"/>
        <v>9401.3333333333358</v>
      </c>
      <c r="E71" s="1">
        <f t="shared" si="7"/>
        <v>2.5069182315400256</v>
      </c>
      <c r="H71" s="7"/>
    </row>
    <row r="72" spans="1:8" ht="30" x14ac:dyDescent="0.25">
      <c r="A72" s="12" t="s">
        <v>131</v>
      </c>
      <c r="B72" s="16">
        <v>53950</v>
      </c>
      <c r="C72" s="16">
        <f>((32711+25664+33961)/3)</f>
        <v>30778.666666666668</v>
      </c>
      <c r="D72" s="16">
        <f t="shared" si="5"/>
        <v>23171.333333333332</v>
      </c>
      <c r="E72" s="1">
        <f t="shared" si="7"/>
        <v>6.1787659178582217</v>
      </c>
      <c r="H72" s="7"/>
    </row>
    <row r="73" spans="1:8" ht="30" x14ac:dyDescent="0.25">
      <c r="A73" s="12" t="s">
        <v>132</v>
      </c>
      <c r="B73" s="16">
        <v>116006</v>
      </c>
      <c r="C73" s="16">
        <f>((56546+66007+54395)/3)</f>
        <v>58982.666666666664</v>
      </c>
      <c r="D73" s="16">
        <f t="shared" si="5"/>
        <v>57023.333333333336</v>
      </c>
      <c r="E73" s="1">
        <f t="shared" si="7"/>
        <v>15.205591471761172</v>
      </c>
      <c r="H73" s="7"/>
    </row>
    <row r="74" spans="1:8" ht="30" x14ac:dyDescent="0.25">
      <c r="A74" s="12" t="s">
        <v>133</v>
      </c>
      <c r="B74" s="16">
        <v>66227</v>
      </c>
      <c r="C74" s="16">
        <f>((45349+35085+46942)/3)</f>
        <v>42458.666666666664</v>
      </c>
      <c r="D74" s="16">
        <f t="shared" si="5"/>
        <v>23768.333333333336</v>
      </c>
      <c r="E74" s="1">
        <f t="shared" si="7"/>
        <v>6.3379593142802975</v>
      </c>
      <c r="H74" s="7"/>
    </row>
    <row r="75" spans="1:8" ht="30" x14ac:dyDescent="0.25">
      <c r="A75" s="12" t="s">
        <v>134</v>
      </c>
      <c r="B75" s="16">
        <v>70691</v>
      </c>
      <c r="C75" s="16">
        <f>((60584+62093+49618)/3)</f>
        <v>57431.666666666664</v>
      </c>
      <c r="D75" s="16">
        <f t="shared" si="5"/>
        <v>13259.333333333336</v>
      </c>
      <c r="E75" s="1">
        <f t="shared" si="7"/>
        <v>3.5356755571620737</v>
      </c>
      <c r="H75" s="7"/>
    </row>
    <row r="76" spans="1:8" ht="30" x14ac:dyDescent="0.25">
      <c r="A76" s="12" t="s">
        <v>135</v>
      </c>
      <c r="B76" s="16">
        <v>60378</v>
      </c>
      <c r="C76" s="16">
        <f>((43858+41113+71994)/3)</f>
        <v>52321.666666666664</v>
      </c>
      <c r="D76" s="16">
        <f t="shared" si="5"/>
        <v>8056.3333333333358</v>
      </c>
      <c r="E76" s="1">
        <f t="shared" si="7"/>
        <v>2.1482664422809132</v>
      </c>
      <c r="H76" s="7"/>
    </row>
    <row r="77" spans="1:8" ht="30" x14ac:dyDescent="0.25">
      <c r="A77" s="12" t="s">
        <v>136</v>
      </c>
      <c r="B77" s="16">
        <v>55313</v>
      </c>
      <c r="C77" s="16">
        <f>((18937+28781+14187)/3)</f>
        <v>20635</v>
      </c>
      <c r="D77" s="16">
        <f t="shared" si="5"/>
        <v>34678</v>
      </c>
      <c r="E77" s="1">
        <f t="shared" si="7"/>
        <v>9.2470830839609608</v>
      </c>
      <c r="H77" s="7"/>
    </row>
    <row r="78" spans="1:8" ht="30" x14ac:dyDescent="0.25">
      <c r="A78" s="12" t="s">
        <v>122</v>
      </c>
      <c r="B78" s="16">
        <v>65971</v>
      </c>
      <c r="C78" s="16">
        <f>((37340+27385+50621)/3)</f>
        <v>38448.666666666664</v>
      </c>
      <c r="D78" s="16">
        <f t="shared" si="5"/>
        <v>27522.333333333336</v>
      </c>
      <c r="E78" s="1">
        <f t="shared" si="7"/>
        <v>7.3389844569410458</v>
      </c>
      <c r="H78" s="7"/>
    </row>
    <row r="79" spans="1:8" ht="30" x14ac:dyDescent="0.25">
      <c r="A79" s="12" t="s">
        <v>137</v>
      </c>
      <c r="B79" s="16">
        <v>30574</v>
      </c>
      <c r="C79" s="16">
        <f>((10577+11737+9226)/3)</f>
        <v>10513.333333333334</v>
      </c>
      <c r="D79" s="16">
        <f t="shared" si="5"/>
        <v>20060.666666666664</v>
      </c>
      <c r="E79" s="1">
        <f t="shared" si="7"/>
        <v>5.3492892146696134</v>
      </c>
      <c r="H79" s="7"/>
    </row>
    <row r="80" spans="1:8" ht="30" x14ac:dyDescent="0.25">
      <c r="A80" s="12" t="s">
        <v>138</v>
      </c>
      <c r="B80" s="16">
        <v>37340</v>
      </c>
      <c r="C80" s="16">
        <f>((26844+34036+19207)/3)</f>
        <v>26695.666666666668</v>
      </c>
      <c r="D80" s="16">
        <f t="shared" si="5"/>
        <v>10644.333333333332</v>
      </c>
      <c r="E80" s="1">
        <f t="shared" si="7"/>
        <v>2.8383711490486316</v>
      </c>
      <c r="H80" s="7"/>
    </row>
    <row r="81" spans="1:8" ht="30" x14ac:dyDescent="0.25">
      <c r="A81" s="12" t="s">
        <v>139</v>
      </c>
      <c r="B81" s="16">
        <v>45546</v>
      </c>
      <c r="C81" s="16">
        <f>((25970+24712+21356)/3)</f>
        <v>24012.666666666668</v>
      </c>
      <c r="D81" s="16">
        <f t="shared" si="5"/>
        <v>21533.333333333332</v>
      </c>
      <c r="E81" s="1">
        <f t="shared" si="7"/>
        <v>5.7419840362177563</v>
      </c>
      <c r="H81" s="7"/>
    </row>
    <row r="82" spans="1:8" ht="30" x14ac:dyDescent="0.25">
      <c r="A82" s="12" t="s">
        <v>140</v>
      </c>
      <c r="B82" s="16">
        <v>24001</v>
      </c>
      <c r="C82" s="16">
        <f>((21116+23158+22029)/3)</f>
        <v>22101</v>
      </c>
      <c r="D82" s="16">
        <f t="shared" si="5"/>
        <v>1900</v>
      </c>
      <c r="E82" s="1">
        <f t="shared" si="7"/>
        <v>0.50664565025450792</v>
      </c>
      <c r="H82" s="7"/>
    </row>
    <row r="83" spans="1:8" ht="30" x14ac:dyDescent="0.25">
      <c r="A83" s="13" t="s">
        <v>216</v>
      </c>
      <c r="B83" s="16">
        <v>71636</v>
      </c>
      <c r="C83" s="16">
        <f>((34139+29612+30729)/3)</f>
        <v>31493.333333333332</v>
      </c>
      <c r="D83" s="16">
        <f>B83-C83</f>
        <v>40142.666666666672</v>
      </c>
      <c r="E83" s="1">
        <f>D83/$I$11</f>
        <v>4.0002834536165803</v>
      </c>
    </row>
    <row r="84" spans="1:8" ht="30" x14ac:dyDescent="0.25">
      <c r="A84" s="13" t="s">
        <v>217</v>
      </c>
      <c r="B84" s="16">
        <v>60640</v>
      </c>
      <c r="C84" s="16">
        <f>((43484+41364+37597)/3)</f>
        <v>40815</v>
      </c>
      <c r="D84" s="16">
        <f t="shared" ref="D84:D97" si="8">B84-C84</f>
        <v>19825</v>
      </c>
      <c r="E84" s="1">
        <f t="shared" ref="E84:E97" si="9">D84/$I$11</f>
        <v>1.9755942007161631</v>
      </c>
    </row>
    <row r="85" spans="1:8" ht="30" x14ac:dyDescent="0.25">
      <c r="A85" s="13" t="s">
        <v>218</v>
      </c>
      <c r="B85" s="16">
        <v>86586</v>
      </c>
      <c r="C85" s="16">
        <f>((42365+38107+30086)/3)</f>
        <v>36852.666666666664</v>
      </c>
      <c r="D85" s="16">
        <f t="shared" si="8"/>
        <v>49733.333333333336</v>
      </c>
      <c r="E85" s="1">
        <f t="shared" si="9"/>
        <v>4.9560093273955701</v>
      </c>
    </row>
    <row r="86" spans="1:8" ht="30" x14ac:dyDescent="0.25">
      <c r="A86" s="13" t="s">
        <v>219</v>
      </c>
      <c r="B86" s="16">
        <v>167381</v>
      </c>
      <c r="C86" s="16">
        <f>((91731+97933+100900)/3)</f>
        <v>96854.666666666672</v>
      </c>
      <c r="D86" s="16">
        <f t="shared" si="8"/>
        <v>70526.333333333328</v>
      </c>
      <c r="E86" s="1">
        <f t="shared" si="9"/>
        <v>7.028066337004204</v>
      </c>
    </row>
    <row r="87" spans="1:8" ht="30" x14ac:dyDescent="0.25">
      <c r="A87" s="13" t="s">
        <v>220</v>
      </c>
      <c r="B87" s="16">
        <v>131356</v>
      </c>
      <c r="C87" s="16">
        <f>((73802+84884+88131)/3)</f>
        <v>82272.333333333328</v>
      </c>
      <c r="D87" s="16">
        <f t="shared" si="8"/>
        <v>49083.666666666672</v>
      </c>
      <c r="E87" s="1">
        <f t="shared" si="9"/>
        <v>4.8912689642649143</v>
      </c>
    </row>
    <row r="88" spans="1:8" ht="30" x14ac:dyDescent="0.25">
      <c r="A88" s="13" t="s">
        <v>221</v>
      </c>
      <c r="B88" s="16">
        <v>132480</v>
      </c>
      <c r="C88" s="16">
        <f>((98565+100579+83302)/3)</f>
        <v>94148.666666666672</v>
      </c>
      <c r="D88" s="16">
        <f t="shared" si="8"/>
        <v>38331.333333333328</v>
      </c>
      <c r="E88" s="1">
        <f t="shared" si="9"/>
        <v>3.8197810763708184</v>
      </c>
    </row>
    <row r="89" spans="1:8" ht="30" x14ac:dyDescent="0.25">
      <c r="A89" s="13" t="s">
        <v>222</v>
      </c>
      <c r="B89" s="16">
        <v>66707</v>
      </c>
      <c r="C89" s="16">
        <f>((46091+44006+34901)/3)</f>
        <v>41666</v>
      </c>
      <c r="D89" s="16">
        <f t="shared" si="8"/>
        <v>25041</v>
      </c>
      <c r="E89" s="1">
        <f t="shared" si="9"/>
        <v>2.4953772701202239</v>
      </c>
    </row>
    <row r="90" spans="1:8" ht="30" x14ac:dyDescent="0.25">
      <c r="A90" s="13" t="s">
        <v>223</v>
      </c>
      <c r="B90" s="16">
        <v>64235</v>
      </c>
      <c r="C90" s="16">
        <f>((33802+34565+33644)/3)</f>
        <v>34003.666666666664</v>
      </c>
      <c r="D90" s="16">
        <f t="shared" si="8"/>
        <v>30231.333333333336</v>
      </c>
      <c r="E90" s="1">
        <f>D90/$I$11</f>
        <v>3.0126026135309241</v>
      </c>
    </row>
    <row r="91" spans="1:8" ht="30" x14ac:dyDescent="0.25">
      <c r="A91" s="13" t="s">
        <v>224</v>
      </c>
      <c r="B91" s="16">
        <v>243968</v>
      </c>
      <c r="C91" s="16">
        <f>((140791+148023+144796)/3)</f>
        <v>144536.66666666666</v>
      </c>
      <c r="D91" s="16">
        <f t="shared" si="8"/>
        <v>99431.333333333343</v>
      </c>
      <c r="E91" s="1">
        <f t="shared" si="9"/>
        <v>9.908497629397683</v>
      </c>
    </row>
    <row r="92" spans="1:8" ht="30" x14ac:dyDescent="0.25">
      <c r="A92" s="13" t="s">
        <v>225</v>
      </c>
      <c r="B92" s="16">
        <v>118814</v>
      </c>
      <c r="C92" s="16">
        <f>((57893+56483+63652)/3)</f>
        <v>59342.666666666664</v>
      </c>
      <c r="D92" s="16">
        <f t="shared" si="8"/>
        <v>59471.333333333336</v>
      </c>
      <c r="E92" s="1">
        <f t="shared" si="9"/>
        <v>5.9264172127208665</v>
      </c>
    </row>
    <row r="93" spans="1:8" ht="30" x14ac:dyDescent="0.25">
      <c r="A93" s="13" t="s">
        <v>226</v>
      </c>
      <c r="B93" s="16">
        <v>137770</v>
      </c>
      <c r="C93" s="16">
        <f>((89236+111024+77463)/3)</f>
        <v>92574.333333333328</v>
      </c>
      <c r="D93" s="16">
        <f t="shared" si="8"/>
        <v>45195.666666666672</v>
      </c>
      <c r="E93" s="1">
        <f t="shared" si="9"/>
        <v>4.5038233021017646</v>
      </c>
    </row>
    <row r="94" spans="1:8" ht="30" x14ac:dyDescent="0.25">
      <c r="A94" s="13" t="s">
        <v>227</v>
      </c>
      <c r="B94" s="16">
        <v>48819</v>
      </c>
      <c r="C94" s="16">
        <f>((35706+34238+30470)/3)</f>
        <v>33471.333333333336</v>
      </c>
      <c r="D94" s="16">
        <f t="shared" si="8"/>
        <v>15347.666666666664</v>
      </c>
      <c r="E94" s="1">
        <f t="shared" si="9"/>
        <v>1.5294204923677897</v>
      </c>
    </row>
    <row r="95" spans="1:8" ht="30" x14ac:dyDescent="0.25">
      <c r="A95" s="13" t="s">
        <v>228</v>
      </c>
      <c r="B95" s="16">
        <v>81728</v>
      </c>
      <c r="C95" s="16">
        <f>((52897+42263+41269)/3)</f>
        <v>45476.333333333336</v>
      </c>
      <c r="D95" s="16">
        <f t="shared" si="8"/>
        <v>36251.666666666664</v>
      </c>
      <c r="E95" s="1">
        <f t="shared" si="9"/>
        <v>3.6125388364671931</v>
      </c>
    </row>
    <row r="96" spans="1:8" ht="30" x14ac:dyDescent="0.25">
      <c r="A96" s="13" t="s">
        <v>229</v>
      </c>
      <c r="B96" s="16">
        <v>133097</v>
      </c>
      <c r="C96" s="16">
        <f>((136255+72073+103634)/3)</f>
        <v>103987.33333333333</v>
      </c>
      <c r="D96" s="16">
        <f t="shared" si="8"/>
        <v>29109.666666666672</v>
      </c>
      <c r="E96" s="1">
        <f t="shared" si="9"/>
        <v>2.9008266658989803</v>
      </c>
    </row>
    <row r="97" spans="1:5" ht="30.75" thickBot="1" x14ac:dyDescent="0.3">
      <c r="A97" s="14" t="s">
        <v>230</v>
      </c>
      <c r="B97" s="2">
        <v>76767</v>
      </c>
      <c r="C97" s="2">
        <f>((30027+29196+30547)/3)</f>
        <v>29923.333333333332</v>
      </c>
      <c r="D97" s="2">
        <f t="shared" si="8"/>
        <v>46843.666666666672</v>
      </c>
      <c r="E97" s="3">
        <f t="shared" si="9"/>
        <v>4.6680492412079557</v>
      </c>
    </row>
  </sheetData>
  <phoneticPr fontId="1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A1905-EE1C-42D1-B591-C11970149D59}">
  <dimension ref="A2:L96"/>
  <sheetViews>
    <sheetView tabSelected="1" topLeftCell="A83" zoomScale="90" zoomScaleNormal="90" workbookViewId="0">
      <selection activeCell="I96" sqref="I96"/>
    </sheetView>
  </sheetViews>
  <sheetFormatPr defaultColWidth="11.42578125" defaultRowHeight="15" x14ac:dyDescent="0.25"/>
  <cols>
    <col min="1" max="1" width="24.140625" bestFit="1" customWidth="1"/>
    <col min="2" max="2" width="15.7109375" customWidth="1"/>
    <col min="3" max="3" width="17.85546875" customWidth="1"/>
    <col min="4" max="4" width="19.7109375" customWidth="1"/>
    <col min="5" max="5" width="14.28515625" customWidth="1"/>
    <col min="6" max="6" width="9.85546875" customWidth="1"/>
    <col min="8" max="8" width="22.5703125" customWidth="1"/>
    <col min="9" max="9" width="15.85546875" customWidth="1"/>
    <col min="10" max="11" width="14.42578125" customWidth="1"/>
    <col min="12" max="12" width="14.28515625" customWidth="1"/>
  </cols>
  <sheetData>
    <row r="2" spans="1:12" ht="15.75" thickBot="1" x14ac:dyDescent="0.3"/>
    <row r="3" spans="1:12" ht="75.75" thickBot="1" x14ac:dyDescent="0.3">
      <c r="A3" s="9" t="s">
        <v>9</v>
      </c>
      <c r="B3" s="5" t="s">
        <v>0</v>
      </c>
      <c r="C3" s="5" t="s">
        <v>1</v>
      </c>
      <c r="D3" s="6" t="s">
        <v>4</v>
      </c>
      <c r="E3" s="6" t="s">
        <v>5</v>
      </c>
      <c r="H3" s="7"/>
      <c r="I3" s="8"/>
      <c r="J3" s="8"/>
      <c r="K3" s="8"/>
      <c r="L3" s="8"/>
    </row>
    <row r="4" spans="1:12" ht="30" x14ac:dyDescent="0.25">
      <c r="A4" s="11" t="s">
        <v>84</v>
      </c>
      <c r="B4" s="16">
        <v>67656</v>
      </c>
      <c r="C4" s="16">
        <f>((59354+56557+63579)/3)</f>
        <v>59830</v>
      </c>
      <c r="D4" s="16">
        <f>B4-C4</f>
        <v>7826</v>
      </c>
      <c r="E4" s="1">
        <f>D4/$I$7</f>
        <v>0.92038585276230767</v>
      </c>
      <c r="H4" s="7"/>
    </row>
    <row r="5" spans="1:12" ht="30" x14ac:dyDescent="0.25">
      <c r="A5" s="11" t="s">
        <v>85</v>
      </c>
      <c r="B5" s="16">
        <v>57193</v>
      </c>
      <c r="C5" s="16">
        <f>((49571+54615+45931)/3)</f>
        <v>50039</v>
      </c>
      <c r="D5" s="16">
        <f t="shared" ref="D5:D33" si="0">B5-C5</f>
        <v>7154</v>
      </c>
      <c r="E5" s="1">
        <f t="shared" ref="E5:E18" si="1">D5/$I$7</f>
        <v>0.84135450941241363</v>
      </c>
      <c r="H5" s="7"/>
    </row>
    <row r="6" spans="1:12" ht="30" x14ac:dyDescent="0.25">
      <c r="A6" s="11" t="s">
        <v>86</v>
      </c>
      <c r="B6" s="16">
        <v>32774</v>
      </c>
      <c r="C6" s="16">
        <f>((39081+26758+25093)/3)</f>
        <v>30310.666666666668</v>
      </c>
      <c r="D6" s="16">
        <f t="shared" si="0"/>
        <v>2463.3333333333321</v>
      </c>
      <c r="E6" s="1">
        <f t="shared" si="1"/>
        <v>0.28970318817247848</v>
      </c>
      <c r="H6" s="7"/>
    </row>
    <row r="7" spans="1:12" ht="30" x14ac:dyDescent="0.25">
      <c r="A7" s="11" t="s">
        <v>87</v>
      </c>
      <c r="B7" s="16">
        <v>28795</v>
      </c>
      <c r="C7" s="16">
        <f>((19402+35437+26190)/3)</f>
        <v>27009.666666666668</v>
      </c>
      <c r="D7" s="16">
        <f t="shared" si="0"/>
        <v>1785.3333333333321</v>
      </c>
      <c r="E7" s="1">
        <f t="shared" si="1"/>
        <v>0.20996620782838896</v>
      </c>
      <c r="H7" s="7" t="s">
        <v>235</v>
      </c>
      <c r="I7">
        <v>8502.9555555555544</v>
      </c>
    </row>
    <row r="8" spans="1:12" ht="30" x14ac:dyDescent="0.25">
      <c r="A8" s="11" t="s">
        <v>88</v>
      </c>
      <c r="B8" s="16">
        <v>43764</v>
      </c>
      <c r="C8" s="16">
        <f>((23123+31773+38244)/3)</f>
        <v>31046.666666666668</v>
      </c>
      <c r="D8" s="16">
        <f t="shared" si="0"/>
        <v>12717.333333333332</v>
      </c>
      <c r="E8" s="1">
        <f t="shared" si="1"/>
        <v>1.495636811252558</v>
      </c>
      <c r="H8" s="7"/>
    </row>
    <row r="9" spans="1:12" ht="30" x14ac:dyDescent="0.25">
      <c r="A9" s="11" t="s">
        <v>89</v>
      </c>
      <c r="B9" s="16">
        <v>44715</v>
      </c>
      <c r="C9" s="16">
        <f>((29156+28597+34161)/3)</f>
        <v>30638</v>
      </c>
      <c r="D9" s="16">
        <f t="shared" si="0"/>
        <v>14077</v>
      </c>
      <c r="E9" s="1">
        <f t="shared" si="1"/>
        <v>1.655541994548301</v>
      </c>
      <c r="H9" s="7" t="s">
        <v>236</v>
      </c>
      <c r="I9">
        <v>3750.1555555555556</v>
      </c>
    </row>
    <row r="10" spans="1:12" ht="30" x14ac:dyDescent="0.25">
      <c r="A10" s="11" t="s">
        <v>90</v>
      </c>
      <c r="B10" s="16">
        <v>46435</v>
      </c>
      <c r="C10" s="16">
        <f>((44528+47034+40397)/3)</f>
        <v>43986.333333333336</v>
      </c>
      <c r="D10" s="16">
        <f t="shared" si="0"/>
        <v>2448.6666666666642</v>
      </c>
      <c r="E10" s="1">
        <f>D10/$I$7</f>
        <v>0.28797829774222272</v>
      </c>
      <c r="H10" s="7"/>
    </row>
    <row r="11" spans="1:12" ht="30" x14ac:dyDescent="0.25">
      <c r="A11" s="11" t="s">
        <v>91</v>
      </c>
      <c r="B11" s="16">
        <v>40004</v>
      </c>
      <c r="C11" s="16">
        <f>((44508+35713+33459)/3)</f>
        <v>37893.333333333336</v>
      </c>
      <c r="D11" s="16">
        <f t="shared" si="0"/>
        <v>2110.6666666666642</v>
      </c>
      <c r="E11" s="1">
        <f t="shared" si="1"/>
        <v>0.2482274137358772</v>
      </c>
      <c r="H11" s="7" t="s">
        <v>236</v>
      </c>
      <c r="I11">
        <v>10034.955555555556</v>
      </c>
    </row>
    <row r="12" spans="1:12" ht="30" x14ac:dyDescent="0.25">
      <c r="A12" s="11" t="s">
        <v>92</v>
      </c>
      <c r="B12" s="16">
        <v>90284</v>
      </c>
      <c r="C12" s="16">
        <f>((68112+79922+70008)/3)</f>
        <v>72680.666666666672</v>
      </c>
      <c r="D12" s="16">
        <f t="shared" si="0"/>
        <v>17603.333333333328</v>
      </c>
      <c r="E12" s="1">
        <f t="shared" si="1"/>
        <v>2.0702605368590787</v>
      </c>
      <c r="H12" s="7"/>
    </row>
    <row r="13" spans="1:12" ht="30" x14ac:dyDescent="0.25">
      <c r="A13" s="11" t="s">
        <v>75</v>
      </c>
      <c r="B13" s="16">
        <v>49699</v>
      </c>
      <c r="C13" s="16">
        <f>((43665+52423+47152)/3)</f>
        <v>47746.666666666664</v>
      </c>
      <c r="D13" s="16">
        <f t="shared" si="0"/>
        <v>1952.3333333333358</v>
      </c>
      <c r="E13" s="1">
        <f t="shared" si="1"/>
        <v>0.22960643750016366</v>
      </c>
      <c r="H13" s="7"/>
    </row>
    <row r="14" spans="1:12" ht="30" x14ac:dyDescent="0.25">
      <c r="A14" s="11" t="s">
        <v>93</v>
      </c>
      <c r="B14" s="16">
        <v>50759</v>
      </c>
      <c r="C14" s="16">
        <f>((53118+35283+36956)/3)</f>
        <v>41785.666666666664</v>
      </c>
      <c r="D14" s="16">
        <f t="shared" si="0"/>
        <v>8973.3333333333358</v>
      </c>
      <c r="E14" s="1">
        <f t="shared" si="1"/>
        <v>1.0553193268745773</v>
      </c>
      <c r="H14" s="7"/>
    </row>
    <row r="15" spans="1:12" ht="30" x14ac:dyDescent="0.25">
      <c r="A15" s="11" t="s">
        <v>94</v>
      </c>
      <c r="B15" s="16">
        <v>31408</v>
      </c>
      <c r="C15" s="16">
        <f>((23196+24409+18272)/3)</f>
        <v>21959</v>
      </c>
      <c r="D15" s="16">
        <f t="shared" si="0"/>
        <v>9449</v>
      </c>
      <c r="E15" s="1">
        <f t="shared" si="1"/>
        <v>1.1112606596921857</v>
      </c>
      <c r="H15" s="7"/>
    </row>
    <row r="16" spans="1:12" ht="30" x14ac:dyDescent="0.25">
      <c r="A16" s="11" t="s">
        <v>95</v>
      </c>
      <c r="B16" s="16">
        <v>48888</v>
      </c>
      <c r="C16" s="16">
        <f>((29206+29465+37030)/3)</f>
        <v>31900.333333333332</v>
      </c>
      <c r="D16" s="16">
        <f t="shared" si="0"/>
        <v>16987.666666666668</v>
      </c>
      <c r="E16" s="1">
        <f t="shared" si="1"/>
        <v>1.9978543408435763</v>
      </c>
      <c r="H16" s="7"/>
    </row>
    <row r="17" spans="1:8" ht="30" x14ac:dyDescent="0.25">
      <c r="A17" s="11" t="s">
        <v>96</v>
      </c>
      <c r="B17" s="16">
        <v>33725</v>
      </c>
      <c r="C17" s="16">
        <f>((22061+31946+26579)/3)</f>
        <v>26862</v>
      </c>
      <c r="D17" s="16">
        <f t="shared" si="0"/>
        <v>6863</v>
      </c>
      <c r="E17" s="1">
        <f t="shared" si="1"/>
        <v>0.80713111519393266</v>
      </c>
      <c r="H17" s="7"/>
    </row>
    <row r="18" spans="1:8" ht="30" x14ac:dyDescent="0.25">
      <c r="A18" s="11" t="s">
        <v>68</v>
      </c>
      <c r="B18" s="16">
        <v>44797</v>
      </c>
      <c r="C18" s="16">
        <f>((32545+23548+32426)/3)</f>
        <v>29506.333333333332</v>
      </c>
      <c r="D18" s="16">
        <f t="shared" si="0"/>
        <v>15290.666666666668</v>
      </c>
      <c r="E18" s="1">
        <f t="shared" si="1"/>
        <v>1.7982766776519541</v>
      </c>
      <c r="H18" s="7"/>
    </row>
    <row r="19" spans="1:8" ht="30" x14ac:dyDescent="0.25">
      <c r="A19" s="12" t="s">
        <v>171</v>
      </c>
      <c r="B19" s="16">
        <v>51098</v>
      </c>
      <c r="C19" s="16">
        <f>((38347+45285+36144)/3)</f>
        <v>39925.333333333336</v>
      </c>
      <c r="D19" s="16">
        <f t="shared" si="0"/>
        <v>11172.666666666664</v>
      </c>
      <c r="E19" s="1">
        <f>D19/$I$9</f>
        <v>2.979254193900104</v>
      </c>
      <c r="H19" s="7"/>
    </row>
    <row r="20" spans="1:8" ht="30" x14ac:dyDescent="0.25">
      <c r="A20" s="12" t="s">
        <v>172</v>
      </c>
      <c r="B20" s="16">
        <v>45207</v>
      </c>
      <c r="C20" s="16">
        <f>((38227+51269+43068)/3)</f>
        <v>44188</v>
      </c>
      <c r="D20" s="16">
        <f t="shared" si="0"/>
        <v>1019</v>
      </c>
      <c r="E20" s="1">
        <f t="shared" ref="E20:E33" si="2">D20/$I$9</f>
        <v>0.27172206189965453</v>
      </c>
      <c r="H20" s="7"/>
    </row>
    <row r="21" spans="1:8" ht="30" x14ac:dyDescent="0.25">
      <c r="A21" s="12" t="s">
        <v>173</v>
      </c>
      <c r="B21" s="16">
        <v>44231</v>
      </c>
      <c r="C21" s="16">
        <f>((45043+20793+35172)/3)</f>
        <v>33669.333333333336</v>
      </c>
      <c r="D21" s="16">
        <f t="shared" si="0"/>
        <v>10561.666666666664</v>
      </c>
      <c r="E21" s="1">
        <f t="shared" si="2"/>
        <v>2.8163276190024704</v>
      </c>
      <c r="H21" s="7"/>
    </row>
    <row r="22" spans="1:8" ht="30" x14ac:dyDescent="0.25">
      <c r="A22" s="12" t="s">
        <v>174</v>
      </c>
      <c r="B22" s="16">
        <v>34245</v>
      </c>
      <c r="C22" s="16">
        <f>((28691+34398+32636)/3)</f>
        <v>31908.333333333332</v>
      </c>
      <c r="D22" s="16">
        <f t="shared" si="0"/>
        <v>2336.6666666666679</v>
      </c>
      <c r="E22" s="1">
        <f t="shared" si="2"/>
        <v>0.62308526461124603</v>
      </c>
      <c r="H22" s="7"/>
    </row>
    <row r="23" spans="1:8" ht="30" x14ac:dyDescent="0.25">
      <c r="A23" s="12" t="s">
        <v>175</v>
      </c>
      <c r="B23" s="16">
        <v>34912</v>
      </c>
      <c r="C23" s="16">
        <f>((29895+24688+36865)/3)</f>
        <v>30482.666666666668</v>
      </c>
      <c r="D23" s="16">
        <f t="shared" si="0"/>
        <v>4429.3333333333321</v>
      </c>
      <c r="E23" s="1">
        <f t="shared" si="2"/>
        <v>1.1811065615055965</v>
      </c>
      <c r="H23" s="7"/>
    </row>
    <row r="24" spans="1:8" ht="30" x14ac:dyDescent="0.25">
      <c r="A24" s="12" t="s">
        <v>176</v>
      </c>
      <c r="B24" s="16">
        <v>42890</v>
      </c>
      <c r="C24" s="16">
        <f>((28841+51877+33137)/3)</f>
        <v>37951.666666666664</v>
      </c>
      <c r="D24" s="16">
        <f t="shared" si="0"/>
        <v>4938.3333333333358</v>
      </c>
      <c r="E24" s="1">
        <f t="shared" si="2"/>
        <v>1.3168342646527262</v>
      </c>
      <c r="H24" s="7"/>
    </row>
    <row r="25" spans="1:8" ht="30" x14ac:dyDescent="0.25">
      <c r="A25" s="12" t="s">
        <v>177</v>
      </c>
      <c r="B25" s="16">
        <v>36767</v>
      </c>
      <c r="C25" s="16">
        <f>((37719+33675+30808)/3)</f>
        <v>34067.333333333336</v>
      </c>
      <c r="D25" s="16">
        <f t="shared" si="0"/>
        <v>2699.6666666666642</v>
      </c>
      <c r="E25" s="1">
        <f t="shared" si="2"/>
        <v>0.71988124937039588</v>
      </c>
      <c r="H25" s="7"/>
    </row>
    <row r="26" spans="1:8" ht="30" x14ac:dyDescent="0.25">
      <c r="A26" s="12" t="s">
        <v>178</v>
      </c>
      <c r="B26" s="16">
        <v>37087</v>
      </c>
      <c r="C26" s="16">
        <f>((34741+40304+35305)/3)</f>
        <v>36783.333333333336</v>
      </c>
      <c r="D26" s="16">
        <f t="shared" si="0"/>
        <v>303.66666666666424</v>
      </c>
      <c r="E26" s="1">
        <f t="shared" si="2"/>
        <v>8.0974418838921591E-2</v>
      </c>
      <c r="H26" s="7"/>
    </row>
    <row r="27" spans="1:8" ht="30" x14ac:dyDescent="0.25">
      <c r="A27" s="12" t="s">
        <v>179</v>
      </c>
      <c r="B27" s="16">
        <v>38983</v>
      </c>
      <c r="C27" s="16">
        <f>((35384+39810+27291)/3)</f>
        <v>34161.666666666664</v>
      </c>
      <c r="D27" s="16">
        <f t="shared" si="0"/>
        <v>4821.3333333333358</v>
      </c>
      <c r="E27" s="1">
        <f t="shared" si="2"/>
        <v>1.2856355588212645</v>
      </c>
      <c r="H27" s="7"/>
    </row>
    <row r="28" spans="1:8" ht="30" x14ac:dyDescent="0.25">
      <c r="A28" s="12" t="s">
        <v>180</v>
      </c>
      <c r="B28" s="16">
        <v>34572</v>
      </c>
      <c r="C28" s="16">
        <f>((35459+21452+32771)/3)</f>
        <v>29894</v>
      </c>
      <c r="D28" s="16">
        <f t="shared" si="0"/>
        <v>4678</v>
      </c>
      <c r="E28" s="1">
        <f t="shared" si="2"/>
        <v>1.247414922047678</v>
      </c>
      <c r="H28" s="7"/>
    </row>
    <row r="29" spans="1:8" ht="30" x14ac:dyDescent="0.25">
      <c r="A29" s="12" t="s">
        <v>181</v>
      </c>
      <c r="B29" s="16">
        <v>30051</v>
      </c>
      <c r="C29" s="16">
        <f>((24458+20987+25119)/3)</f>
        <v>23521.333333333332</v>
      </c>
      <c r="D29" s="16">
        <f t="shared" si="0"/>
        <v>6529.6666666666679</v>
      </c>
      <c r="E29" s="1">
        <f t="shared" si="2"/>
        <v>1.741172218041326</v>
      </c>
      <c r="H29" s="7"/>
    </row>
    <row r="30" spans="1:8" ht="30" x14ac:dyDescent="0.25">
      <c r="A30" s="12" t="s">
        <v>182</v>
      </c>
      <c r="B30" s="16">
        <v>42394</v>
      </c>
      <c r="C30" s="16">
        <f>((32734+33659+31100)/3)</f>
        <v>32497.666666666668</v>
      </c>
      <c r="D30" s="16">
        <f t="shared" si="0"/>
        <v>9896.3333333333321</v>
      </c>
      <c r="E30" s="1">
        <f t="shared" si="2"/>
        <v>2.6389127562115937</v>
      </c>
      <c r="H30" s="7"/>
    </row>
    <row r="31" spans="1:8" ht="30" x14ac:dyDescent="0.25">
      <c r="A31" s="12" t="s">
        <v>183</v>
      </c>
      <c r="B31" s="16">
        <v>53454</v>
      </c>
      <c r="C31" s="16">
        <f>((27045+38221+37313)/3)</f>
        <v>34193</v>
      </c>
      <c r="D31" s="16">
        <f t="shared" si="0"/>
        <v>19261</v>
      </c>
      <c r="E31" s="1">
        <f t="shared" si="2"/>
        <v>5.1360536155537249</v>
      </c>
      <c r="H31" s="7"/>
    </row>
    <row r="32" spans="1:8" ht="30" x14ac:dyDescent="0.25">
      <c r="A32" s="12" t="s">
        <v>184</v>
      </c>
      <c r="B32" s="16">
        <v>55040</v>
      </c>
      <c r="C32" s="16">
        <f>((36578+39215+38895)/3)</f>
        <v>38229.333333333336</v>
      </c>
      <c r="D32" s="16">
        <f t="shared" si="0"/>
        <v>16810.666666666664</v>
      </c>
      <c r="E32" s="1">
        <f t="shared" si="2"/>
        <v>4.4826584971290071</v>
      </c>
      <c r="H32" s="7"/>
    </row>
    <row r="33" spans="1:8" ht="30" x14ac:dyDescent="0.25">
      <c r="A33" s="12" t="s">
        <v>185</v>
      </c>
      <c r="B33" s="16">
        <v>35196</v>
      </c>
      <c r="C33" s="16">
        <f>((24560+20207+27882)/3)</f>
        <v>24216.333333333332</v>
      </c>
      <c r="D33" s="16">
        <f t="shared" si="0"/>
        <v>10979.666666666668</v>
      </c>
      <c r="E33" s="1">
        <f t="shared" si="2"/>
        <v>2.9277896620584629</v>
      </c>
      <c r="H33" s="7"/>
    </row>
    <row r="34" spans="1:8" ht="30" x14ac:dyDescent="0.25">
      <c r="A34" s="13" t="s">
        <v>262</v>
      </c>
      <c r="B34" s="16">
        <v>37371</v>
      </c>
      <c r="C34" s="16">
        <f>((28304+29718+27097)/3)</f>
        <v>28373</v>
      </c>
      <c r="D34" s="16">
        <f>B34-C34</f>
        <v>8998</v>
      </c>
      <c r="E34" s="15">
        <f>D34/$I$11</f>
        <v>0.89666565538683662</v>
      </c>
      <c r="H34" s="7"/>
    </row>
    <row r="35" spans="1:8" ht="30" x14ac:dyDescent="0.25">
      <c r="A35" s="13" t="s">
        <v>263</v>
      </c>
      <c r="B35" s="16">
        <v>37516</v>
      </c>
      <c r="C35" s="16">
        <f>((20182+24111+28223)/3)</f>
        <v>24172</v>
      </c>
      <c r="D35" s="16">
        <f t="shared" ref="D35:D48" si="3">B35-C35</f>
        <v>13344</v>
      </c>
      <c r="E35" s="15">
        <f t="shared" ref="E35:E48" si="4">D35/$I$11</f>
        <v>1.329751778782168</v>
      </c>
      <c r="H35" s="7"/>
    </row>
    <row r="36" spans="1:8" ht="30" x14ac:dyDescent="0.25">
      <c r="A36" s="13" t="s">
        <v>264</v>
      </c>
      <c r="B36" s="16">
        <v>40390</v>
      </c>
      <c r="C36" s="16">
        <f>((34855+35184+36998)/3)</f>
        <v>35679</v>
      </c>
      <c r="D36" s="16">
        <f t="shared" si="3"/>
        <v>4711</v>
      </c>
      <c r="E36" s="15">
        <f t="shared" si="4"/>
        <v>0.4694589800541662</v>
      </c>
      <c r="H36" s="7"/>
    </row>
    <row r="37" spans="1:8" ht="30" x14ac:dyDescent="0.25">
      <c r="A37" s="13" t="s">
        <v>265</v>
      </c>
      <c r="B37" s="16">
        <v>31292</v>
      </c>
      <c r="C37" s="16">
        <f>((18855+22969+25638)/3)</f>
        <v>22487.333333333332</v>
      </c>
      <c r="D37" s="16">
        <f t="shared" si="3"/>
        <v>8804.6666666666679</v>
      </c>
      <c r="E37" s="15">
        <f t="shared" si="4"/>
        <v>0.87739966738489683</v>
      </c>
      <c r="H37" s="7"/>
    </row>
    <row r="38" spans="1:8" ht="30" x14ac:dyDescent="0.25">
      <c r="A38" s="13" t="s">
        <v>266</v>
      </c>
      <c r="B38" s="16">
        <v>73649</v>
      </c>
      <c r="C38" s="16">
        <f>((72772+78382+51790)/3)</f>
        <v>67648</v>
      </c>
      <c r="D38" s="16">
        <f t="shared" si="3"/>
        <v>6001</v>
      </c>
      <c r="E38" s="15">
        <f t="shared" si="4"/>
        <v>0.59800962413607539</v>
      </c>
      <c r="H38" s="7"/>
    </row>
    <row r="39" spans="1:8" ht="30" x14ac:dyDescent="0.25">
      <c r="A39" s="13" t="s">
        <v>267</v>
      </c>
      <c r="B39" s="16">
        <v>42234</v>
      </c>
      <c r="C39" s="16">
        <f>((32151+31907+30283)/3)</f>
        <v>31447</v>
      </c>
      <c r="D39" s="16">
        <f t="shared" si="3"/>
        <v>10787</v>
      </c>
      <c r="E39" s="15">
        <f t="shared" si="4"/>
        <v>1.0749424788461666</v>
      </c>
      <c r="H39" s="7"/>
    </row>
    <row r="40" spans="1:8" ht="30" x14ac:dyDescent="0.25">
      <c r="A40" s="13" t="s">
        <v>268</v>
      </c>
      <c r="B40" s="16">
        <v>46448</v>
      </c>
      <c r="C40" s="16">
        <f>((33006+45124+38113)/3)</f>
        <v>38747.666666666664</v>
      </c>
      <c r="D40" s="16">
        <f t="shared" si="3"/>
        <v>7700.3333333333358</v>
      </c>
      <c r="E40" s="15">
        <f t="shared" si="4"/>
        <v>0.76735101522898863</v>
      </c>
      <c r="H40" s="7"/>
    </row>
    <row r="41" spans="1:8" ht="30" x14ac:dyDescent="0.25">
      <c r="A41" s="13" t="s">
        <v>239</v>
      </c>
      <c r="B41" s="16">
        <v>29594</v>
      </c>
      <c r="C41" s="16">
        <f>((22702+23245+23487)/3)</f>
        <v>23144.666666666668</v>
      </c>
      <c r="D41" s="16">
        <f t="shared" si="3"/>
        <v>6449.3333333333321</v>
      </c>
      <c r="E41" s="15">
        <f t="shared" si="4"/>
        <v>0.64268678596815998</v>
      </c>
      <c r="H41" s="7"/>
    </row>
    <row r="42" spans="1:8" ht="30" x14ac:dyDescent="0.25">
      <c r="A42" s="13" t="s">
        <v>240</v>
      </c>
      <c r="B42" s="16">
        <v>35849</v>
      </c>
      <c r="C42" s="16">
        <f>((23596+28080+24891)/3)</f>
        <v>25522.333333333332</v>
      </c>
      <c r="D42" s="16">
        <f t="shared" si="3"/>
        <v>10326.666666666668</v>
      </c>
      <c r="E42" s="15">
        <f t="shared" si="4"/>
        <v>1.0290694970691339</v>
      </c>
      <c r="H42" s="7"/>
    </row>
    <row r="43" spans="1:8" ht="30" x14ac:dyDescent="0.25">
      <c r="A43" s="13" t="s">
        <v>269</v>
      </c>
      <c r="B43" s="16">
        <v>43630</v>
      </c>
      <c r="C43" s="16">
        <f>((34749+35213+46336)/3)</f>
        <v>38766</v>
      </c>
      <c r="D43" s="16">
        <f t="shared" si="3"/>
        <v>4864</v>
      </c>
      <c r="E43" s="15">
        <f t="shared" si="4"/>
        <v>0.48470568435225309</v>
      </c>
      <c r="H43" s="7"/>
    </row>
    <row r="44" spans="1:8" ht="30" x14ac:dyDescent="0.25">
      <c r="A44" s="13" t="s">
        <v>242</v>
      </c>
      <c r="B44" s="16">
        <v>61416</v>
      </c>
      <c r="C44" s="16">
        <f>((49500+55723+56108)/3)</f>
        <v>53777</v>
      </c>
      <c r="D44" s="16">
        <f t="shared" si="3"/>
        <v>7639</v>
      </c>
      <c r="E44" s="15">
        <f t="shared" si="4"/>
        <v>0.76123904662147646</v>
      </c>
      <c r="H44" s="7"/>
    </row>
    <row r="45" spans="1:8" ht="30" x14ac:dyDescent="0.25">
      <c r="A45" s="13" t="s">
        <v>243</v>
      </c>
      <c r="B45" s="16">
        <v>77179</v>
      </c>
      <c r="C45" s="16">
        <f>((51685+56011+83130)/3)</f>
        <v>63608.666666666664</v>
      </c>
      <c r="D45" s="16">
        <f t="shared" si="3"/>
        <v>13570.333333333336</v>
      </c>
      <c r="E45" s="15">
        <f t="shared" si="4"/>
        <v>1.3523062716327152</v>
      </c>
      <c r="H45" s="7"/>
    </row>
    <row r="46" spans="1:8" ht="30" x14ac:dyDescent="0.25">
      <c r="A46" s="13" t="s">
        <v>270</v>
      </c>
      <c r="B46" s="16">
        <v>39480</v>
      </c>
      <c r="C46" s="16">
        <f>((23092+30858+36952)/3)</f>
        <v>30300.666666666668</v>
      </c>
      <c r="D46" s="16">
        <f t="shared" si="3"/>
        <v>9179.3333333333321</v>
      </c>
      <c r="E46" s="15">
        <f t="shared" si="4"/>
        <v>0.91473582344382842</v>
      </c>
      <c r="H46" s="7"/>
    </row>
    <row r="47" spans="1:8" ht="30" x14ac:dyDescent="0.25">
      <c r="A47" s="13" t="s">
        <v>271</v>
      </c>
      <c r="B47" s="16">
        <v>52294</v>
      </c>
      <c r="C47" s="16">
        <f>((42501+42538+52034)/3)</f>
        <v>45691</v>
      </c>
      <c r="D47" s="16">
        <f t="shared" si="3"/>
        <v>6603</v>
      </c>
      <c r="E47" s="15">
        <f t="shared" si="4"/>
        <v>0.65799992470763302</v>
      </c>
      <c r="H47" s="7"/>
    </row>
    <row r="48" spans="1:8" ht="30.75" thickBot="1" x14ac:dyDescent="0.3">
      <c r="A48" s="14" t="s">
        <v>272</v>
      </c>
      <c r="B48" s="2">
        <v>53647</v>
      </c>
      <c r="C48" s="2">
        <f>((41744+35115+46511)/3)</f>
        <v>41123.333333333336</v>
      </c>
      <c r="D48" s="2">
        <f t="shared" si="3"/>
        <v>12523.666666666664</v>
      </c>
      <c r="E48" s="17">
        <f>D48/$I$11</f>
        <v>1.2480041986566952</v>
      </c>
    </row>
    <row r="50" spans="1:12" ht="15.75" thickBot="1" x14ac:dyDescent="0.3"/>
    <row r="51" spans="1:12" ht="75.75" thickBot="1" x14ac:dyDescent="0.3">
      <c r="A51" s="9" t="s">
        <v>8</v>
      </c>
      <c r="B51" s="5" t="s">
        <v>0</v>
      </c>
      <c r="C51" s="5" t="s">
        <v>1</v>
      </c>
      <c r="D51" s="6" t="s">
        <v>4</v>
      </c>
      <c r="E51" s="6" t="s">
        <v>5</v>
      </c>
      <c r="H51" s="7"/>
      <c r="I51" s="8"/>
      <c r="J51" s="8"/>
      <c r="K51" s="8"/>
      <c r="L51" s="8"/>
    </row>
    <row r="52" spans="1:12" ht="30" x14ac:dyDescent="0.25">
      <c r="A52" s="11" t="s">
        <v>69</v>
      </c>
      <c r="B52" s="16">
        <v>95752</v>
      </c>
      <c r="C52" s="16">
        <f>((57417+69768+74847)/3)</f>
        <v>67344</v>
      </c>
      <c r="D52" s="16">
        <f>B52-C52</f>
        <v>28408</v>
      </c>
      <c r="E52" s="1">
        <f>D52/$I$7</f>
        <v>3.340955955184211</v>
      </c>
      <c r="H52" s="7"/>
    </row>
    <row r="53" spans="1:12" ht="30" x14ac:dyDescent="0.25">
      <c r="A53" s="11" t="s">
        <v>70</v>
      </c>
      <c r="B53" s="16">
        <v>153377</v>
      </c>
      <c r="C53" s="16">
        <f>((81887+98785+95779)/3)</f>
        <v>92150.333333333328</v>
      </c>
      <c r="D53" s="16">
        <f t="shared" ref="D53:D81" si="5">B53-C53</f>
        <v>61226.666666666672</v>
      </c>
      <c r="E53" s="1">
        <f t="shared" ref="E53:E66" si="6">D53/$I$7</f>
        <v>7.2006335052125685</v>
      </c>
      <c r="H53" s="7"/>
    </row>
    <row r="54" spans="1:12" ht="30" x14ac:dyDescent="0.25">
      <c r="A54" s="11" t="s">
        <v>71</v>
      </c>
      <c r="B54" s="16">
        <v>70920</v>
      </c>
      <c r="C54" s="16">
        <f>((57655+52328+46386)/3)</f>
        <v>52123</v>
      </c>
      <c r="D54" s="16">
        <f t="shared" si="5"/>
        <v>18797</v>
      </c>
      <c r="E54" s="1">
        <f t="shared" si="6"/>
        <v>2.2106430966487474</v>
      </c>
      <c r="H54" s="7"/>
    </row>
    <row r="55" spans="1:12" ht="30" x14ac:dyDescent="0.25">
      <c r="A55" s="11" t="s">
        <v>72</v>
      </c>
      <c r="B55" s="16">
        <v>71662</v>
      </c>
      <c r="C55" s="16">
        <f>((48140+70615+31470)/3)</f>
        <v>50075</v>
      </c>
      <c r="D55" s="16">
        <f t="shared" si="5"/>
        <v>21587</v>
      </c>
      <c r="E55" s="1">
        <f t="shared" si="6"/>
        <v>2.5387642989496468</v>
      </c>
      <c r="H55" s="7"/>
    </row>
    <row r="56" spans="1:12" ht="30" x14ac:dyDescent="0.25">
      <c r="A56" s="11" t="s">
        <v>73</v>
      </c>
      <c r="B56" s="16">
        <v>126695</v>
      </c>
      <c r="C56" s="16">
        <f>((58119+49427+79832)/3)</f>
        <v>62459.333333333336</v>
      </c>
      <c r="D56" s="16">
        <f t="shared" si="5"/>
        <v>64235.666666666664</v>
      </c>
      <c r="E56" s="1">
        <f t="shared" si="6"/>
        <v>7.5545104578016016</v>
      </c>
      <c r="H56" s="7"/>
    </row>
    <row r="57" spans="1:12" ht="30" x14ac:dyDescent="0.25">
      <c r="A57" s="11" t="s">
        <v>74</v>
      </c>
      <c r="B57" s="16">
        <v>123939</v>
      </c>
      <c r="C57" s="16">
        <f>((62064+56893+43277)/3)</f>
        <v>54078</v>
      </c>
      <c r="D57" s="16">
        <f t="shared" si="5"/>
        <v>69861</v>
      </c>
      <c r="E57" s="1">
        <f t="shared" si="6"/>
        <v>8.2160843419150993</v>
      </c>
      <c r="H57" s="7"/>
    </row>
    <row r="58" spans="1:12" ht="30" x14ac:dyDescent="0.25">
      <c r="A58" s="11" t="s">
        <v>75</v>
      </c>
      <c r="B58" s="16">
        <v>122616</v>
      </c>
      <c r="C58" s="16">
        <f>((78275+70262+68011)/3)</f>
        <v>72182.666666666672</v>
      </c>
      <c r="D58" s="16">
        <f t="shared" si="5"/>
        <v>50433.333333333328</v>
      </c>
      <c r="E58" s="1">
        <f t="shared" si="6"/>
        <v>5.9312709567653599</v>
      </c>
      <c r="H58" s="7"/>
    </row>
    <row r="59" spans="1:12" ht="30" x14ac:dyDescent="0.25">
      <c r="A59" s="11" t="s">
        <v>76</v>
      </c>
      <c r="B59" s="16">
        <v>138736</v>
      </c>
      <c r="C59" s="16">
        <f>((72254+100572+81108)/3)</f>
        <v>84644.666666666672</v>
      </c>
      <c r="D59" s="16">
        <f t="shared" si="5"/>
        <v>54091.333333333328</v>
      </c>
      <c r="E59" s="1">
        <f t="shared" si="6"/>
        <v>6.3614743108932057</v>
      </c>
      <c r="H59" s="7"/>
    </row>
    <row r="60" spans="1:12" ht="30" x14ac:dyDescent="0.25">
      <c r="A60" s="11" t="s">
        <v>77</v>
      </c>
      <c r="B60" s="16">
        <v>140495</v>
      </c>
      <c r="C60" s="16">
        <f>((108555+84955+71433)/3)</f>
        <v>88314.333333333328</v>
      </c>
      <c r="D60" s="16">
        <f t="shared" si="5"/>
        <v>52180.666666666672</v>
      </c>
      <c r="E60" s="1">
        <f t="shared" si="6"/>
        <v>6.1367681302971793</v>
      </c>
      <c r="H60" s="7"/>
    </row>
    <row r="61" spans="1:12" ht="30" x14ac:dyDescent="0.25">
      <c r="A61" s="11" t="s">
        <v>78</v>
      </c>
      <c r="B61" s="16">
        <v>83659</v>
      </c>
      <c r="C61" s="16">
        <f>((62153+56321+61366)/3)</f>
        <v>59946.666666666664</v>
      </c>
      <c r="D61" s="16">
        <f t="shared" si="5"/>
        <v>23712.333333333336</v>
      </c>
      <c r="E61" s="1">
        <f t="shared" si="6"/>
        <v>2.78871660311578</v>
      </c>
      <c r="H61" s="7"/>
    </row>
    <row r="62" spans="1:12" ht="30" x14ac:dyDescent="0.25">
      <c r="A62" s="11" t="s">
        <v>79</v>
      </c>
      <c r="B62" s="16">
        <v>88477</v>
      </c>
      <c r="C62" s="16">
        <f>((58901+58819+39796)/3)</f>
        <v>52505.333333333336</v>
      </c>
      <c r="D62" s="16">
        <f t="shared" si="5"/>
        <v>35971.666666666664</v>
      </c>
      <c r="E62" s="1">
        <f t="shared" si="6"/>
        <v>4.2304897904780825</v>
      </c>
      <c r="H62" s="7"/>
    </row>
    <row r="63" spans="1:12" ht="30" x14ac:dyDescent="0.25">
      <c r="A63" s="11" t="s">
        <v>80</v>
      </c>
      <c r="B63" s="16">
        <v>87547</v>
      </c>
      <c r="C63" s="16">
        <f>((46144+56093+41676)/3)</f>
        <v>47971</v>
      </c>
      <c r="D63" s="16">
        <f t="shared" si="5"/>
        <v>39576</v>
      </c>
      <c r="E63" s="1">
        <f t="shared" si="6"/>
        <v>4.6543816137134026</v>
      </c>
      <c r="H63" s="7"/>
    </row>
    <row r="64" spans="1:12" ht="30" x14ac:dyDescent="0.25">
      <c r="A64" s="11" t="s">
        <v>81</v>
      </c>
      <c r="B64" s="16">
        <v>129336</v>
      </c>
      <c r="C64" s="16">
        <f>((93116+89873+75686)/3)</f>
        <v>86225</v>
      </c>
      <c r="D64" s="16">
        <f t="shared" si="5"/>
        <v>43111</v>
      </c>
      <c r="E64" s="1">
        <f t="shared" si="6"/>
        <v>5.0701194094602409</v>
      </c>
      <c r="H64" s="7"/>
    </row>
    <row r="65" spans="1:8" ht="30" x14ac:dyDescent="0.25">
      <c r="A65" s="11" t="s">
        <v>82</v>
      </c>
      <c r="B65" s="16">
        <v>152979</v>
      </c>
      <c r="C65" s="16">
        <f>((107953+86507+83639)/3)</f>
        <v>92699.666666666672</v>
      </c>
      <c r="D65" s="16">
        <f t="shared" si="5"/>
        <v>60279.333333333328</v>
      </c>
      <c r="E65" s="1">
        <f t="shared" si="6"/>
        <v>7.0892212642401473</v>
      </c>
      <c r="H65" s="7"/>
    </row>
    <row r="66" spans="1:8" ht="30" x14ac:dyDescent="0.25">
      <c r="A66" s="11" t="s">
        <v>83</v>
      </c>
      <c r="B66" s="16">
        <v>113178</v>
      </c>
      <c r="C66" s="16">
        <f>((65500+76542+80447)/3)</f>
        <v>74163</v>
      </c>
      <c r="D66" s="16">
        <f t="shared" si="5"/>
        <v>39015</v>
      </c>
      <c r="E66" s="1">
        <f t="shared" si="6"/>
        <v>4.5884045547561243</v>
      </c>
      <c r="H66" s="7"/>
    </row>
    <row r="67" spans="1:8" ht="30" x14ac:dyDescent="0.25">
      <c r="A67" s="12" t="s">
        <v>156</v>
      </c>
      <c r="B67" s="16">
        <v>60005</v>
      </c>
      <c r="C67" s="16">
        <f>((46499+57849+60537)/3)</f>
        <v>54961.666666666664</v>
      </c>
      <c r="D67" s="16">
        <f t="shared" si="5"/>
        <v>5043.3333333333358</v>
      </c>
      <c r="E67" s="1">
        <f>D67/$I$9</f>
        <v>1.3448331032194227</v>
      </c>
      <c r="H67" s="7"/>
    </row>
    <row r="68" spans="1:8" ht="30" x14ac:dyDescent="0.25">
      <c r="A68" s="12" t="s">
        <v>157</v>
      </c>
      <c r="B68" s="16">
        <v>39458</v>
      </c>
      <c r="C68" s="16">
        <f>((13568+19848+27750)/3)</f>
        <v>20388.666666666668</v>
      </c>
      <c r="D68" s="16">
        <f t="shared" si="5"/>
        <v>19069.333333333332</v>
      </c>
      <c r="E68" s="1">
        <f t="shared" ref="E68:E81" si="7">D68/$I$9</f>
        <v>5.0849446245192791</v>
      </c>
      <c r="H68" s="7"/>
    </row>
    <row r="69" spans="1:8" ht="30" x14ac:dyDescent="0.25">
      <c r="A69" s="12" t="s">
        <v>158</v>
      </c>
      <c r="B69" s="16">
        <v>31921</v>
      </c>
      <c r="C69" s="16">
        <f>((24212+28742+25142)/3)</f>
        <v>26032</v>
      </c>
      <c r="D69" s="16">
        <f t="shared" si="5"/>
        <v>5889</v>
      </c>
      <c r="E69" s="1">
        <f t="shared" si="7"/>
        <v>1.5703348601835776</v>
      </c>
      <c r="H69" s="7"/>
    </row>
    <row r="70" spans="1:8" ht="30" x14ac:dyDescent="0.25">
      <c r="A70" s="12" t="s">
        <v>159</v>
      </c>
      <c r="B70" s="16">
        <v>42709</v>
      </c>
      <c r="C70" s="16">
        <f>((17270+18256+17931)/3)</f>
        <v>17819</v>
      </c>
      <c r="D70" s="16">
        <f t="shared" si="5"/>
        <v>24890</v>
      </c>
      <c r="E70" s="1">
        <f t="shared" si="7"/>
        <v>6.637058018334054</v>
      </c>
      <c r="H70" s="7"/>
    </row>
    <row r="71" spans="1:8" ht="30" x14ac:dyDescent="0.25">
      <c r="A71" s="12" t="s">
        <v>160</v>
      </c>
      <c r="B71" s="16">
        <v>55489</v>
      </c>
      <c r="C71" s="16">
        <f>((26495+30049+24833)/3)</f>
        <v>27125.666666666668</v>
      </c>
      <c r="D71" s="16">
        <f t="shared" si="5"/>
        <v>28363.333333333332</v>
      </c>
      <c r="E71" s="1">
        <f t="shared" si="7"/>
        <v>7.5632418210800143</v>
      </c>
      <c r="H71" s="7"/>
    </row>
    <row r="72" spans="1:8" ht="30" x14ac:dyDescent="0.25">
      <c r="A72" s="12" t="s">
        <v>161</v>
      </c>
      <c r="B72" s="16">
        <v>43636</v>
      </c>
      <c r="C72" s="16">
        <f>((17137+11328+13939)/3)</f>
        <v>14134.666666666666</v>
      </c>
      <c r="D72" s="16">
        <f t="shared" si="5"/>
        <v>29501.333333333336</v>
      </c>
      <c r="E72" s="1">
        <f t="shared" si="7"/>
        <v>7.8666959000219254</v>
      </c>
      <c r="H72" s="7"/>
    </row>
    <row r="73" spans="1:8" ht="30" x14ac:dyDescent="0.25">
      <c r="A73" s="12" t="s">
        <v>162</v>
      </c>
      <c r="B73" s="16">
        <v>28115</v>
      </c>
      <c r="C73" s="16">
        <f>((10769+13683+9744)/3)</f>
        <v>11398.666666666666</v>
      </c>
      <c r="D73" s="16">
        <f t="shared" si="5"/>
        <v>16716.333333333336</v>
      </c>
      <c r="E73" s="1">
        <f t="shared" si="7"/>
        <v>4.4575039850198817</v>
      </c>
      <c r="H73" s="7"/>
    </row>
    <row r="74" spans="1:8" ht="30" x14ac:dyDescent="0.25">
      <c r="A74" s="12" t="s">
        <v>163</v>
      </c>
      <c r="B74" s="16">
        <v>54415</v>
      </c>
      <c r="C74" s="16">
        <f>((22587+21604+23909)/3)</f>
        <v>22700</v>
      </c>
      <c r="D74" s="16">
        <f t="shared" si="5"/>
        <v>31715</v>
      </c>
      <c r="E74" s="1">
        <f t="shared" si="7"/>
        <v>8.4569825251693267</v>
      </c>
      <c r="H74" s="7"/>
    </row>
    <row r="75" spans="1:8" ht="30" x14ac:dyDescent="0.25">
      <c r="A75" s="12" t="s">
        <v>164</v>
      </c>
      <c r="B75" s="16">
        <v>36774</v>
      </c>
      <c r="C75" s="16">
        <f>((13412+21334+15228)/3)</f>
        <v>16658</v>
      </c>
      <c r="D75" s="16">
        <f t="shared" si="5"/>
        <v>20116</v>
      </c>
      <c r="E75" s="1">
        <f t="shared" si="7"/>
        <v>5.3640441581682534</v>
      </c>
      <c r="H75" s="7"/>
    </row>
    <row r="76" spans="1:8" ht="30" x14ac:dyDescent="0.25">
      <c r="A76" s="12" t="s">
        <v>165</v>
      </c>
      <c r="B76" s="16">
        <v>21655</v>
      </c>
      <c r="C76" s="16">
        <f>((13641+10344+14964)/3)</f>
        <v>12983</v>
      </c>
      <c r="D76" s="16">
        <f t="shared" si="5"/>
        <v>8672</v>
      </c>
      <c r="E76" s="1">
        <f t="shared" si="7"/>
        <v>2.3124374100037333</v>
      </c>
      <c r="H76" s="7"/>
    </row>
    <row r="77" spans="1:8" ht="30" x14ac:dyDescent="0.25">
      <c r="A77" s="12" t="s">
        <v>166</v>
      </c>
      <c r="B77" s="16">
        <v>15381</v>
      </c>
      <c r="C77" s="16">
        <f>((8787+5753+7845)/3)</f>
        <v>7461.666666666667</v>
      </c>
      <c r="D77" s="16">
        <f t="shared" si="5"/>
        <v>7919.333333333333</v>
      </c>
      <c r="E77" s="1">
        <f t="shared" si="7"/>
        <v>2.1117346243415085</v>
      </c>
      <c r="H77" s="7"/>
    </row>
    <row r="78" spans="1:8" ht="30" x14ac:dyDescent="0.25">
      <c r="A78" s="12" t="s">
        <v>167</v>
      </c>
      <c r="B78" s="16">
        <v>16745</v>
      </c>
      <c r="C78" s="16">
        <f>((8317+10458+9291)/3)</f>
        <v>9355.3333333333339</v>
      </c>
      <c r="D78" s="16">
        <f t="shared" si="5"/>
        <v>7389.6666666666661</v>
      </c>
      <c r="E78" s="1">
        <f t="shared" si="7"/>
        <v>1.9704960386828396</v>
      </c>
      <c r="H78" s="7"/>
    </row>
    <row r="79" spans="1:8" ht="30" x14ac:dyDescent="0.25">
      <c r="A79" s="12" t="s">
        <v>168</v>
      </c>
      <c r="B79" s="16">
        <v>47199</v>
      </c>
      <c r="C79" s="16">
        <f>((15654+28976+38961)/3)</f>
        <v>27863.666666666668</v>
      </c>
      <c r="D79" s="16">
        <f t="shared" si="5"/>
        <v>19335.333333333332</v>
      </c>
      <c r="E79" s="1">
        <f t="shared" si="7"/>
        <v>5.1558750155549102</v>
      </c>
      <c r="H79" s="7"/>
    </row>
    <row r="80" spans="1:8" ht="30" x14ac:dyDescent="0.25">
      <c r="A80" s="12" t="s">
        <v>169</v>
      </c>
      <c r="B80" s="16">
        <v>33044</v>
      </c>
      <c r="C80" s="16">
        <f>((14422+13482+17177)/3)</f>
        <v>15027</v>
      </c>
      <c r="D80" s="16">
        <f t="shared" si="5"/>
        <v>18017</v>
      </c>
      <c r="E80" s="1">
        <f t="shared" si="7"/>
        <v>4.804334042439721</v>
      </c>
      <c r="H80" s="7"/>
    </row>
    <row r="81" spans="1:8" ht="30" x14ac:dyDescent="0.25">
      <c r="A81" s="12" t="s">
        <v>170</v>
      </c>
      <c r="B81" s="16">
        <v>58016</v>
      </c>
      <c r="C81" s="16">
        <f>((33777+47568+14510)/3)</f>
        <v>31951.666666666668</v>
      </c>
      <c r="D81" s="16">
        <f t="shared" si="5"/>
        <v>26064.333333333332</v>
      </c>
      <c r="E81" s="1">
        <f t="shared" si="7"/>
        <v>6.9502005842720598</v>
      </c>
      <c r="H81" s="7"/>
    </row>
    <row r="82" spans="1:8" ht="30" x14ac:dyDescent="0.25">
      <c r="A82" s="13" t="s">
        <v>247</v>
      </c>
      <c r="B82" s="16">
        <v>97719</v>
      </c>
      <c r="C82" s="16">
        <f>((56427+60220+57696)/3)</f>
        <v>58114.333333333336</v>
      </c>
      <c r="D82" s="16">
        <f>B82-C82</f>
        <v>39604.666666666664</v>
      </c>
      <c r="E82" s="1">
        <f>D82/$I$11</f>
        <v>3.9466708594180782</v>
      </c>
    </row>
    <row r="83" spans="1:8" ht="30" x14ac:dyDescent="0.25">
      <c r="A83" s="13" t="s">
        <v>248</v>
      </c>
      <c r="B83" s="16">
        <v>111528</v>
      </c>
      <c r="C83" s="16">
        <f>((59623+76012+66296)/3)</f>
        <v>67310.333333333328</v>
      </c>
      <c r="D83" s="16">
        <f t="shared" ref="D83:D96" si="8">B83-C83</f>
        <v>44217.666666666672</v>
      </c>
      <c r="E83" s="1">
        <f t="shared" ref="E83:E96" si="9">D83/$I$11</f>
        <v>4.4063639765885032</v>
      </c>
    </row>
    <row r="84" spans="1:8" ht="30" x14ac:dyDescent="0.25">
      <c r="A84" s="13" t="s">
        <v>249</v>
      </c>
      <c r="B84" s="16">
        <v>130480</v>
      </c>
      <c r="C84" s="16">
        <f>((83871+83942+70348)/3)</f>
        <v>79387</v>
      </c>
      <c r="D84" s="16">
        <f t="shared" si="8"/>
        <v>51093</v>
      </c>
      <c r="E84" s="1">
        <f t="shared" si="9"/>
        <v>5.0915023706023161</v>
      </c>
    </row>
    <row r="85" spans="1:8" ht="30" x14ac:dyDescent="0.25">
      <c r="A85" s="13" t="s">
        <v>250</v>
      </c>
      <c r="B85" s="16">
        <v>103062</v>
      </c>
      <c r="C85" s="16">
        <f>((43540+58246+70009)/3)</f>
        <v>57265</v>
      </c>
      <c r="D85" s="16">
        <f t="shared" si="8"/>
        <v>45797</v>
      </c>
      <c r="E85" s="1">
        <f t="shared" si="9"/>
        <v>4.5637471682319353</v>
      </c>
    </row>
    <row r="86" spans="1:8" ht="30" x14ac:dyDescent="0.25">
      <c r="A86" s="13" t="s">
        <v>251</v>
      </c>
      <c r="B86" s="16">
        <v>81319</v>
      </c>
      <c r="C86" s="16">
        <f>((49435+46510+67576)/3)</f>
        <v>54507</v>
      </c>
      <c r="D86" s="16">
        <f t="shared" si="8"/>
        <v>26812</v>
      </c>
      <c r="E86" s="1">
        <f t="shared" si="9"/>
        <v>2.6718603636621321</v>
      </c>
    </row>
    <row r="87" spans="1:8" ht="30" x14ac:dyDescent="0.25">
      <c r="A87" s="13" t="s">
        <v>252</v>
      </c>
      <c r="B87" s="16">
        <v>37974</v>
      </c>
      <c r="C87" s="16">
        <f>((9367+13932+14134)/3)</f>
        <v>12477.666666666666</v>
      </c>
      <c r="D87" s="16">
        <f t="shared" si="8"/>
        <v>25496.333333333336</v>
      </c>
      <c r="E87" s="1">
        <f>D87/$I$11</f>
        <v>2.5407519935868619</v>
      </c>
    </row>
    <row r="88" spans="1:8" ht="30" x14ac:dyDescent="0.25">
      <c r="A88" s="13" t="s">
        <v>253</v>
      </c>
      <c r="B88" s="16">
        <v>57467</v>
      </c>
      <c r="C88" s="16">
        <f>((35906+44508+38162)/3)</f>
        <v>39525.333333333336</v>
      </c>
      <c r="D88" s="16">
        <f t="shared" si="8"/>
        <v>17941.666666666664</v>
      </c>
      <c r="E88" s="1">
        <f t="shared" si="9"/>
        <v>1.7879169038007141</v>
      </c>
    </row>
    <row r="89" spans="1:8" ht="30" x14ac:dyDescent="0.25">
      <c r="A89" s="13" t="s">
        <v>254</v>
      </c>
      <c r="B89" s="16">
        <v>47754</v>
      </c>
      <c r="C89" s="16">
        <f>((31860+24662+27879)/3)</f>
        <v>28133.666666666668</v>
      </c>
      <c r="D89" s="16">
        <f t="shared" si="8"/>
        <v>19620.333333333332</v>
      </c>
      <c r="E89" s="1">
        <f t="shared" si="9"/>
        <v>1.9551988272106611</v>
      </c>
    </row>
    <row r="90" spans="1:8" ht="30" x14ac:dyDescent="0.25">
      <c r="A90" s="13" t="s">
        <v>255</v>
      </c>
      <c r="B90" s="16">
        <v>51338</v>
      </c>
      <c r="C90" s="16">
        <f>((35662+32134+27144)/3)</f>
        <v>31646.666666666668</v>
      </c>
      <c r="D90" s="16">
        <f t="shared" si="8"/>
        <v>19691.333333333332</v>
      </c>
      <c r="E90" s="1">
        <f t="shared" si="9"/>
        <v>1.96227409521827</v>
      </c>
    </row>
    <row r="91" spans="1:8" ht="30" x14ac:dyDescent="0.25">
      <c r="A91" s="13" t="s">
        <v>256</v>
      </c>
      <c r="B91" s="16">
        <v>142271</v>
      </c>
      <c r="C91" s="16">
        <f>((61084+56609+53397)/3)</f>
        <v>57030</v>
      </c>
      <c r="D91" s="16">
        <f t="shared" si="8"/>
        <v>85241</v>
      </c>
      <c r="E91" s="1">
        <f t="shared" si="9"/>
        <v>8.4944073272759884</v>
      </c>
    </row>
    <row r="92" spans="1:8" ht="30" x14ac:dyDescent="0.25">
      <c r="A92" s="13" t="s">
        <v>257</v>
      </c>
      <c r="B92" s="16">
        <v>56911</v>
      </c>
      <c r="C92" s="16">
        <f>((47039+33792+41125)/3)</f>
        <v>40652</v>
      </c>
      <c r="D92" s="16">
        <f t="shared" si="8"/>
        <v>16259</v>
      </c>
      <c r="E92" s="1">
        <f t="shared" si="9"/>
        <v>1.6202363737424512</v>
      </c>
    </row>
    <row r="93" spans="1:8" ht="30" x14ac:dyDescent="0.25">
      <c r="A93" s="13" t="s">
        <v>258</v>
      </c>
      <c r="B93" s="16">
        <v>104370</v>
      </c>
      <c r="C93" s="16">
        <f>((51135+50915+45772)/3)</f>
        <v>49274</v>
      </c>
      <c r="D93" s="16">
        <f t="shared" si="8"/>
        <v>55096</v>
      </c>
      <c r="E93" s="1">
        <f t="shared" si="9"/>
        <v>5.490407973904551</v>
      </c>
    </row>
    <row r="94" spans="1:8" ht="30" x14ac:dyDescent="0.25">
      <c r="A94" s="13" t="s">
        <v>259</v>
      </c>
      <c r="B94" s="16">
        <v>88907</v>
      </c>
      <c r="C94" s="16">
        <f>((55478+47559+42024)/3)</f>
        <v>48353.666666666664</v>
      </c>
      <c r="D94" s="16">
        <f t="shared" si="8"/>
        <v>40553.333333333336</v>
      </c>
      <c r="E94" s="1">
        <f t="shared" si="9"/>
        <v>4.0412070695103557</v>
      </c>
    </row>
    <row r="95" spans="1:8" ht="30" x14ac:dyDescent="0.25">
      <c r="A95" s="13" t="s">
        <v>260</v>
      </c>
      <c r="B95" s="16">
        <v>67127</v>
      </c>
      <c r="C95" s="16">
        <f>((42171+32854+42070)/3)</f>
        <v>39031.666666666664</v>
      </c>
      <c r="D95" s="16">
        <f t="shared" si="8"/>
        <v>28095.333333333336</v>
      </c>
      <c r="E95" s="1">
        <f t="shared" si="9"/>
        <v>2.7997466633301813</v>
      </c>
    </row>
    <row r="96" spans="1:8" ht="30.75" thickBot="1" x14ac:dyDescent="0.3">
      <c r="A96" s="14" t="s">
        <v>261</v>
      </c>
      <c r="B96" s="2">
        <v>113168</v>
      </c>
      <c r="C96" s="2">
        <f>((69818+44874+52017)/3)</f>
        <v>55569.666666666664</v>
      </c>
      <c r="D96" s="2">
        <f t="shared" si="8"/>
        <v>57598.333333333336</v>
      </c>
      <c r="E96" s="3">
        <f t="shared" si="9"/>
        <v>5.7397696496469006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Control</vt:lpstr>
      <vt:lpstr>MycRNAi</vt:lpstr>
      <vt:lpstr>StringRNAi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</dc:creator>
  <cp:lastModifiedBy>Karen Bellec</cp:lastModifiedBy>
  <dcterms:created xsi:type="dcterms:W3CDTF">2020-04-20T14:54:27Z</dcterms:created>
  <dcterms:modified xsi:type="dcterms:W3CDTF">2025-01-28T14:51:14Z</dcterms:modified>
</cp:coreProperties>
</file>